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Budget-local schools\LSB FY 2021\C4DC webtool and files\"/>
    </mc:Choice>
  </mc:AlternateContent>
  <xr:revisionPtr revIDLastSave="0" documentId="8_{9159C01D-D010-4CAB-B076-6829D77996C5}" xr6:coauthVersionLast="46" xr6:coauthVersionMax="46" xr10:uidLastSave="{00000000-0000-0000-0000-000000000000}"/>
  <bookViews>
    <workbookView xWindow="2850" yWindow="570" windowWidth="19155" windowHeight="14355" xr2:uid="{886266EA-2D5C-4510-9291-145600E836FC}"/>
  </bookViews>
  <sheets>
    <sheet name="FY21 Final Initial $$" sheetId="1" r:id="rId1"/>
    <sheet name="FY21 FTE" sheetId="2" r:id="rId2"/>
    <sheet name="FY20 Initial w later add-ons" sheetId="3" r:id="rId3"/>
    <sheet name="FY20 Initial Budget Allocat FT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'FY20 Initial Budget Allocat FTE'!$A$2:$DM$122</definedName>
    <definedName name="_xlnm._FilterDatabase" localSheetId="2" hidden="1">'FY20 Initial w later add-ons'!$A$2:$EG$123</definedName>
    <definedName name="_xlnm._FilterDatabase" localSheetId="0" hidden="1">'FY21 Final Initial $$'!$A$1:$EH$121</definedName>
    <definedName name="_xlnm._FilterDatabase" localSheetId="1" hidden="1">'FY21 FTE'!$A$1:$DN$122</definedName>
    <definedName name="budgetcategory">[1]Sheet2!$A$2:$A$9</definedName>
    <definedName name="Excel_BuiltIn_Sheet_Title_2">"Enrollment "</definedName>
    <definedName name="Foundation" localSheetId="3">#REF!</definedName>
    <definedName name="Foundation" localSheetId="2">#REF!</definedName>
    <definedName name="Foundation">#REF!</definedName>
    <definedName name="Funding_Sources">'[2]Z-Pick Lists'!$G$2:$G$14</definedName>
    <definedName name="LEP" localSheetId="3">'[3]Enrollment '!#REF!</definedName>
    <definedName name="LEP" localSheetId="2">'[3]Enrollment '!#REF!</definedName>
    <definedName name="LEP">'[3]Enrollment '!#REF!</definedName>
    <definedName name="NEP" localSheetId="3">'[3]Enrollment '!#REF!</definedName>
    <definedName name="NEP" localSheetId="2">'[3]Enrollment '!#REF!</definedName>
    <definedName name="NEP">'[3]Enrollment '!#REF!</definedName>
    <definedName name="Ninety_Percent" localSheetId="3">#REF!</definedName>
    <definedName name="Ninety_Percent" localSheetId="2">#REF!</definedName>
    <definedName name="Ninety_Percent">#REF!</definedName>
    <definedName name="Ninety_Percent_Sum" localSheetId="3">'[4]Allocation Sheet'!#REF!</definedName>
    <definedName name="Ninety_Percent_Sum" localSheetId="2">'[4]Allocation Sheet'!#REF!</definedName>
    <definedName name="Ninety_Percent_Sum">'[4]Allocation Sheet'!#REF!</definedName>
    <definedName name="Schools">'[5]Z-Pick Lists'!$D$2:$D$126</definedName>
    <definedName name="Special_Ed2" localSheetId="3">'[3]Enrollment '!#REF!</definedName>
    <definedName name="Special_Ed2" localSheetId="2">'[3]Enrollment '!#REF!</definedName>
    <definedName name="Special_Ed2">'[3]Enrollment '!#REF!</definedName>
    <definedName name="Special_Ed3" localSheetId="3">'[3]Enrollment '!#REF!</definedName>
    <definedName name="Special_Ed3" localSheetId="2">'[3]Enrollment '!#REF!</definedName>
    <definedName name="Special_Ed3">'[3]Enrollment '!#REF!</definedName>
    <definedName name="Special_Ed4" localSheetId="3">'[3]Enrollment '!#REF!</definedName>
    <definedName name="Special_Ed4" localSheetId="2">'[3]Enrollment '!#REF!</definedName>
    <definedName name="Special_Ed4">'[3]Enrollment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L120" i="4" l="1"/>
  <c r="DK120" i="4"/>
  <c r="DJ120" i="4"/>
  <c r="DI120" i="4"/>
  <c r="DH120" i="4"/>
  <c r="DG120" i="4"/>
  <c r="DF120" i="4"/>
  <c r="DE120" i="4"/>
  <c r="DD120" i="4"/>
  <c r="DC120" i="4"/>
  <c r="DB120" i="4"/>
  <c r="DB122" i="4" s="1"/>
  <c r="DA120" i="4"/>
  <c r="DA122" i="4" s="1"/>
  <c r="CZ120" i="4"/>
  <c r="CY120" i="4"/>
  <c r="CW120" i="4"/>
  <c r="CV120" i="4"/>
  <c r="CS120" i="4"/>
  <c r="CS122" i="4" s="1"/>
  <c r="CR120" i="4"/>
  <c r="CQ120" i="4"/>
  <c r="CP120" i="4"/>
  <c r="CN120" i="4"/>
  <c r="CM120" i="4"/>
  <c r="CL120" i="4"/>
  <c r="CK120" i="4"/>
  <c r="BZ120" i="4"/>
  <c r="BY120" i="4"/>
  <c r="BX120" i="4"/>
  <c r="BW120" i="4"/>
  <c r="BO120" i="4"/>
  <c r="BN120" i="4"/>
  <c r="BM120" i="4"/>
  <c r="BK120" i="4"/>
  <c r="BJ120" i="4"/>
  <c r="F120" i="4"/>
  <c r="E120" i="4"/>
  <c r="DM119" i="4"/>
  <c r="CX119" i="4"/>
  <c r="CU119" i="4"/>
  <c r="CT119" i="4"/>
  <c r="CO119" i="4"/>
  <c r="CJ119" i="4"/>
  <c r="CI119" i="4"/>
  <c r="CH119" i="4"/>
  <c r="CG119" i="4"/>
  <c r="CF119" i="4"/>
  <c r="CE119" i="4"/>
  <c r="CD119" i="4"/>
  <c r="CB119" i="4"/>
  <c r="CA119" i="4"/>
  <c r="BV119" i="4"/>
  <c r="BU119" i="4"/>
  <c r="BT119" i="4"/>
  <c r="BS119" i="4"/>
  <c r="BR119" i="4"/>
  <c r="BQ119" i="4"/>
  <c r="BP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DQ119" i="4" s="1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DN119" i="4" s="1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DM118" i="4"/>
  <c r="CX118" i="4"/>
  <c r="CU118" i="4"/>
  <c r="CT118" i="4"/>
  <c r="CO118" i="4"/>
  <c r="CJ118" i="4"/>
  <c r="CI118" i="4"/>
  <c r="CH118" i="4"/>
  <c r="CG118" i="4"/>
  <c r="CF118" i="4"/>
  <c r="CE118" i="4"/>
  <c r="CD118" i="4"/>
  <c r="CB118" i="4"/>
  <c r="CA118" i="4"/>
  <c r="BV118" i="4"/>
  <c r="BU118" i="4"/>
  <c r="BT118" i="4"/>
  <c r="BS118" i="4"/>
  <c r="BR118" i="4"/>
  <c r="BQ118" i="4"/>
  <c r="BP118" i="4"/>
  <c r="BI118" i="4"/>
  <c r="BH118" i="4"/>
  <c r="BG118" i="4"/>
  <c r="BF118" i="4"/>
  <c r="BE118" i="4"/>
  <c r="BD118" i="4"/>
  <c r="BC118" i="4"/>
  <c r="BB118" i="4"/>
  <c r="BA118" i="4"/>
  <c r="DR118" i="4" s="1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DM117" i="4"/>
  <c r="CX117" i="4"/>
  <c r="CU117" i="4"/>
  <c r="CT117" i="4"/>
  <c r="CO117" i="4"/>
  <c r="CJ117" i="4"/>
  <c r="CI117" i="4"/>
  <c r="CH117" i="4"/>
  <c r="CG117" i="4"/>
  <c r="CF117" i="4"/>
  <c r="CE117" i="4"/>
  <c r="CD117" i="4"/>
  <c r="CB117" i="4"/>
  <c r="CA117" i="4"/>
  <c r="BV117" i="4"/>
  <c r="BU117" i="4"/>
  <c r="BT117" i="4"/>
  <c r="BS117" i="4"/>
  <c r="BR117" i="4"/>
  <c r="BQ117" i="4"/>
  <c r="BP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DO117" i="4" s="1"/>
  <c r="AA117" i="4"/>
  <c r="DN117" i="4" s="1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DM116" i="4"/>
  <c r="CX116" i="4"/>
  <c r="CU116" i="4"/>
  <c r="CT116" i="4"/>
  <c r="CO116" i="4"/>
  <c r="CJ116" i="4"/>
  <c r="CI116" i="4"/>
  <c r="CH116" i="4"/>
  <c r="CG116" i="4"/>
  <c r="CF116" i="4"/>
  <c r="CE116" i="4"/>
  <c r="CD116" i="4"/>
  <c r="CB116" i="4"/>
  <c r="CA116" i="4"/>
  <c r="BV116" i="4"/>
  <c r="BU116" i="4"/>
  <c r="BT116" i="4"/>
  <c r="BS116" i="4"/>
  <c r="BR116" i="4"/>
  <c r="BQ116" i="4"/>
  <c r="BP116" i="4"/>
  <c r="BI116" i="4"/>
  <c r="BH116" i="4"/>
  <c r="BG116" i="4"/>
  <c r="BF116" i="4"/>
  <c r="BE116" i="4"/>
  <c r="DR116" i="4" s="1"/>
  <c r="BD116" i="4"/>
  <c r="BC116" i="4"/>
  <c r="BB116" i="4"/>
  <c r="BA116" i="4"/>
  <c r="AZ116" i="4"/>
  <c r="AY116" i="4"/>
  <c r="AX116" i="4"/>
  <c r="DQ116" i="4" s="1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DM115" i="4"/>
  <c r="CX115" i="4"/>
  <c r="CU115" i="4"/>
  <c r="CT115" i="4"/>
  <c r="CO115" i="4"/>
  <c r="CJ115" i="4"/>
  <c r="CI115" i="4"/>
  <c r="CH115" i="4"/>
  <c r="CG115" i="4"/>
  <c r="CF115" i="4"/>
  <c r="CE115" i="4"/>
  <c r="CD115" i="4"/>
  <c r="CB115" i="4"/>
  <c r="CA115" i="4"/>
  <c r="BV115" i="4"/>
  <c r="BU115" i="4"/>
  <c r="BT115" i="4"/>
  <c r="BS115" i="4"/>
  <c r="BR115" i="4"/>
  <c r="BQ115" i="4"/>
  <c r="BP115" i="4"/>
  <c r="BI115" i="4"/>
  <c r="BH115" i="4"/>
  <c r="BG115" i="4"/>
  <c r="BF115" i="4"/>
  <c r="BE115" i="4"/>
  <c r="BD115" i="4"/>
  <c r="BC115" i="4"/>
  <c r="BB115" i="4"/>
  <c r="BA115" i="4"/>
  <c r="DR115" i="4" s="1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DM114" i="4"/>
  <c r="CX114" i="4"/>
  <c r="CU114" i="4"/>
  <c r="CT114" i="4"/>
  <c r="CO114" i="4"/>
  <c r="CJ114" i="4"/>
  <c r="CI114" i="4"/>
  <c r="CH114" i="4"/>
  <c r="CG114" i="4"/>
  <c r="CF114" i="4"/>
  <c r="CE114" i="4"/>
  <c r="CD114" i="4"/>
  <c r="CB114" i="4"/>
  <c r="CA114" i="4"/>
  <c r="BV114" i="4"/>
  <c r="BU114" i="4"/>
  <c r="BT114" i="4"/>
  <c r="BS114" i="4"/>
  <c r="BR114" i="4"/>
  <c r="BQ114" i="4"/>
  <c r="BP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DQ114" i="4" s="1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DM113" i="4"/>
  <c r="CX113" i="4"/>
  <c r="CU113" i="4"/>
  <c r="CT113" i="4"/>
  <c r="CO113" i="4"/>
  <c r="CJ113" i="4"/>
  <c r="CI113" i="4"/>
  <c r="CH113" i="4"/>
  <c r="CG113" i="4"/>
  <c r="CF113" i="4"/>
  <c r="CE113" i="4"/>
  <c r="CD113" i="4"/>
  <c r="CB113" i="4"/>
  <c r="CA113" i="4"/>
  <c r="BV113" i="4"/>
  <c r="BU113" i="4"/>
  <c r="BT113" i="4"/>
  <c r="BS113" i="4"/>
  <c r="BR113" i="4"/>
  <c r="BQ113" i="4"/>
  <c r="BP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DM112" i="4"/>
  <c r="CX112" i="4"/>
  <c r="CU112" i="4"/>
  <c r="CT112" i="4"/>
  <c r="CO112" i="4"/>
  <c r="CJ112" i="4"/>
  <c r="CI112" i="4"/>
  <c r="CH112" i="4"/>
  <c r="CG112" i="4"/>
  <c r="CF112" i="4"/>
  <c r="CE112" i="4"/>
  <c r="CD112" i="4"/>
  <c r="CB112" i="4"/>
  <c r="CA112" i="4"/>
  <c r="BV112" i="4"/>
  <c r="BU112" i="4"/>
  <c r="BT112" i="4"/>
  <c r="BS112" i="4"/>
  <c r="BR112" i="4"/>
  <c r="BQ112" i="4"/>
  <c r="BP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DQ112" i="4" s="1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DM111" i="4"/>
  <c r="CX111" i="4"/>
  <c r="CU111" i="4"/>
  <c r="CT111" i="4"/>
  <c r="CO111" i="4"/>
  <c r="CJ111" i="4"/>
  <c r="CI111" i="4"/>
  <c r="CH111" i="4"/>
  <c r="CG111" i="4"/>
  <c r="CF111" i="4"/>
  <c r="CE111" i="4"/>
  <c r="CD111" i="4"/>
  <c r="CB111" i="4"/>
  <c r="CA111" i="4"/>
  <c r="BV111" i="4"/>
  <c r="BU111" i="4"/>
  <c r="BT111" i="4"/>
  <c r="BS111" i="4"/>
  <c r="BR111" i="4"/>
  <c r="BQ111" i="4"/>
  <c r="BP111" i="4"/>
  <c r="BI111" i="4"/>
  <c r="BH111" i="4"/>
  <c r="BG111" i="4"/>
  <c r="BF111" i="4"/>
  <c r="BE111" i="4"/>
  <c r="BD111" i="4"/>
  <c r="BC111" i="4"/>
  <c r="BB111" i="4"/>
  <c r="BA111" i="4"/>
  <c r="DR111" i="4" s="1"/>
  <c r="AZ111" i="4"/>
  <c r="AY111" i="4"/>
  <c r="DQ111" i="4" s="1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DR110" i="4"/>
  <c r="DM110" i="4"/>
  <c r="CX110" i="4"/>
  <c r="CU110" i="4"/>
  <c r="CT110" i="4"/>
  <c r="CO110" i="4"/>
  <c r="CJ110" i="4"/>
  <c r="CI110" i="4"/>
  <c r="CH110" i="4"/>
  <c r="CG110" i="4"/>
  <c r="CF110" i="4"/>
  <c r="CE110" i="4"/>
  <c r="CD110" i="4"/>
  <c r="CB110" i="4"/>
  <c r="CA110" i="4"/>
  <c r="BV110" i="4"/>
  <c r="BU110" i="4"/>
  <c r="BT110" i="4"/>
  <c r="BS110" i="4"/>
  <c r="BR110" i="4"/>
  <c r="BQ110" i="4"/>
  <c r="BP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DO110" i="4" s="1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DM109" i="4"/>
  <c r="CX109" i="4"/>
  <c r="CU109" i="4"/>
  <c r="CT109" i="4"/>
  <c r="CO109" i="4"/>
  <c r="CJ109" i="4"/>
  <c r="CI109" i="4"/>
  <c r="CH109" i="4"/>
  <c r="CG109" i="4"/>
  <c r="CF109" i="4"/>
  <c r="CE109" i="4"/>
  <c r="CD109" i="4"/>
  <c r="CB109" i="4"/>
  <c r="CA109" i="4"/>
  <c r="BV109" i="4"/>
  <c r="BU109" i="4"/>
  <c r="BT109" i="4"/>
  <c r="BS109" i="4"/>
  <c r="BR109" i="4"/>
  <c r="BQ109" i="4"/>
  <c r="BP109" i="4"/>
  <c r="BI109" i="4"/>
  <c r="BH109" i="4"/>
  <c r="BG109" i="4"/>
  <c r="BF109" i="4"/>
  <c r="BE109" i="4"/>
  <c r="BD109" i="4"/>
  <c r="DQ109" i="4" s="1"/>
  <c r="BC109" i="4"/>
  <c r="BB109" i="4"/>
  <c r="BA109" i="4"/>
  <c r="DR109" i="4" s="1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DM108" i="4"/>
  <c r="CX108" i="4"/>
  <c r="CU108" i="4"/>
  <c r="CT108" i="4"/>
  <c r="CO108" i="4"/>
  <c r="CJ108" i="4"/>
  <c r="CI108" i="4"/>
  <c r="CH108" i="4"/>
  <c r="CG108" i="4"/>
  <c r="CF108" i="4"/>
  <c r="CE108" i="4"/>
  <c r="CD108" i="4"/>
  <c r="CB108" i="4"/>
  <c r="CA108" i="4"/>
  <c r="BV108" i="4"/>
  <c r="BU108" i="4"/>
  <c r="BT108" i="4"/>
  <c r="BS108" i="4"/>
  <c r="BR108" i="4"/>
  <c r="BQ108" i="4"/>
  <c r="BP108" i="4"/>
  <c r="BI108" i="4"/>
  <c r="BH108" i="4"/>
  <c r="BG108" i="4"/>
  <c r="BF108" i="4"/>
  <c r="BE108" i="4"/>
  <c r="BD108" i="4"/>
  <c r="BC108" i="4"/>
  <c r="BB108" i="4"/>
  <c r="BA108" i="4"/>
  <c r="AZ108" i="4"/>
  <c r="AY108" i="4"/>
  <c r="DQ108" i="4" s="1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DO108" i="4" s="1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DM107" i="4"/>
  <c r="CX107" i="4"/>
  <c r="CU107" i="4"/>
  <c r="CT107" i="4"/>
  <c r="CO107" i="4"/>
  <c r="CJ107" i="4"/>
  <c r="CI107" i="4"/>
  <c r="CH107" i="4"/>
  <c r="CG107" i="4"/>
  <c r="CF107" i="4"/>
  <c r="CE107" i="4"/>
  <c r="CD107" i="4"/>
  <c r="CB107" i="4"/>
  <c r="CA107" i="4"/>
  <c r="BV107" i="4"/>
  <c r="BU107" i="4"/>
  <c r="BT107" i="4"/>
  <c r="BS107" i="4"/>
  <c r="BR107" i="4"/>
  <c r="BQ107" i="4"/>
  <c r="BP107" i="4"/>
  <c r="BI107" i="4"/>
  <c r="BH107" i="4"/>
  <c r="BG107" i="4"/>
  <c r="BF107" i="4"/>
  <c r="BE107" i="4"/>
  <c r="BD107" i="4"/>
  <c r="BC107" i="4"/>
  <c r="BB107" i="4"/>
  <c r="BA107" i="4"/>
  <c r="DR107" i="4" s="1"/>
  <c r="AZ107" i="4"/>
  <c r="AY107" i="4"/>
  <c r="AX107" i="4"/>
  <c r="DQ107" i="4" s="1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DM106" i="4"/>
  <c r="CX106" i="4"/>
  <c r="CU106" i="4"/>
  <c r="CT106" i="4"/>
  <c r="CO106" i="4"/>
  <c r="CJ106" i="4"/>
  <c r="CI106" i="4"/>
  <c r="CH106" i="4"/>
  <c r="CG106" i="4"/>
  <c r="CF106" i="4"/>
  <c r="CE106" i="4"/>
  <c r="CD106" i="4"/>
  <c r="CB106" i="4"/>
  <c r="CA106" i="4"/>
  <c r="BV106" i="4"/>
  <c r="BU106" i="4"/>
  <c r="BT106" i="4"/>
  <c r="BS106" i="4"/>
  <c r="BR106" i="4"/>
  <c r="BQ106" i="4"/>
  <c r="BP106" i="4"/>
  <c r="BI106" i="4"/>
  <c r="BH106" i="4"/>
  <c r="BG106" i="4"/>
  <c r="BF106" i="4"/>
  <c r="BE106" i="4"/>
  <c r="BD106" i="4"/>
  <c r="BC106" i="4"/>
  <c r="BB106" i="4"/>
  <c r="BA106" i="4"/>
  <c r="DR106" i="4" s="1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DM105" i="4"/>
  <c r="CX105" i="4"/>
  <c r="CU105" i="4"/>
  <c r="CT105" i="4"/>
  <c r="CO105" i="4"/>
  <c r="CJ105" i="4"/>
  <c r="CI105" i="4"/>
  <c r="CH105" i="4"/>
  <c r="CG105" i="4"/>
  <c r="CF105" i="4"/>
  <c r="CE105" i="4"/>
  <c r="CD105" i="4"/>
  <c r="CB105" i="4"/>
  <c r="CA105" i="4"/>
  <c r="BV105" i="4"/>
  <c r="BU105" i="4"/>
  <c r="BT105" i="4"/>
  <c r="BS105" i="4"/>
  <c r="BR105" i="4"/>
  <c r="BQ105" i="4"/>
  <c r="BP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DM104" i="4"/>
  <c r="CX104" i="4"/>
  <c r="CU104" i="4"/>
  <c r="CT104" i="4"/>
  <c r="CO104" i="4"/>
  <c r="CJ104" i="4"/>
  <c r="CI104" i="4"/>
  <c r="CH104" i="4"/>
  <c r="CG104" i="4"/>
  <c r="CF104" i="4"/>
  <c r="CE104" i="4"/>
  <c r="CD104" i="4"/>
  <c r="CB104" i="4"/>
  <c r="CA104" i="4"/>
  <c r="BV104" i="4"/>
  <c r="BU104" i="4"/>
  <c r="BT104" i="4"/>
  <c r="BS104" i="4"/>
  <c r="BR104" i="4"/>
  <c r="BQ104" i="4"/>
  <c r="BP104" i="4"/>
  <c r="BI104" i="4"/>
  <c r="BH104" i="4"/>
  <c r="BG104" i="4"/>
  <c r="BF104" i="4"/>
  <c r="BE104" i="4"/>
  <c r="BD104" i="4"/>
  <c r="BC104" i="4"/>
  <c r="BB104" i="4"/>
  <c r="BA104" i="4"/>
  <c r="DR104" i="4" s="1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DP104" i="4" s="1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DM103" i="4"/>
  <c r="CX103" i="4"/>
  <c r="CU103" i="4"/>
  <c r="CT103" i="4"/>
  <c r="CO103" i="4"/>
  <c r="CJ103" i="4"/>
  <c r="CI103" i="4"/>
  <c r="CH103" i="4"/>
  <c r="CG103" i="4"/>
  <c r="CF103" i="4"/>
  <c r="CE103" i="4"/>
  <c r="CD103" i="4"/>
  <c r="CB103" i="4"/>
  <c r="CA103" i="4"/>
  <c r="BV103" i="4"/>
  <c r="BU103" i="4"/>
  <c r="BT103" i="4"/>
  <c r="BS103" i="4"/>
  <c r="BR103" i="4"/>
  <c r="BQ103" i="4"/>
  <c r="BP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DQ103" i="4" s="1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DN103" i="4" s="1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DM102" i="4"/>
  <c r="CX102" i="4"/>
  <c r="CU102" i="4"/>
  <c r="CT102" i="4"/>
  <c r="CO102" i="4"/>
  <c r="CJ102" i="4"/>
  <c r="CI102" i="4"/>
  <c r="CH102" i="4"/>
  <c r="CG102" i="4"/>
  <c r="CF102" i="4"/>
  <c r="CE102" i="4"/>
  <c r="CD102" i="4"/>
  <c r="CB102" i="4"/>
  <c r="CA102" i="4"/>
  <c r="BV102" i="4"/>
  <c r="BU102" i="4"/>
  <c r="BT102" i="4"/>
  <c r="BS102" i="4"/>
  <c r="BR102" i="4"/>
  <c r="BQ102" i="4"/>
  <c r="BP102" i="4"/>
  <c r="BI102" i="4"/>
  <c r="BH102" i="4"/>
  <c r="BG102" i="4"/>
  <c r="BF102" i="4"/>
  <c r="BE102" i="4"/>
  <c r="BD102" i="4"/>
  <c r="BC102" i="4"/>
  <c r="BB102" i="4"/>
  <c r="BA102" i="4"/>
  <c r="DR102" i="4" s="1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DM101" i="4"/>
  <c r="CX101" i="4"/>
  <c r="CU101" i="4"/>
  <c r="CT101" i="4"/>
  <c r="CO101" i="4"/>
  <c r="CJ101" i="4"/>
  <c r="CI101" i="4"/>
  <c r="CH101" i="4"/>
  <c r="CG101" i="4"/>
  <c r="CF101" i="4"/>
  <c r="CE101" i="4"/>
  <c r="CD101" i="4"/>
  <c r="CB101" i="4"/>
  <c r="CA101" i="4"/>
  <c r="BV101" i="4"/>
  <c r="BU101" i="4"/>
  <c r="BT101" i="4"/>
  <c r="BS101" i="4"/>
  <c r="BR101" i="4"/>
  <c r="BQ101" i="4"/>
  <c r="BP101" i="4"/>
  <c r="BI101" i="4"/>
  <c r="BH101" i="4"/>
  <c r="BG101" i="4"/>
  <c r="BF101" i="4"/>
  <c r="BE101" i="4"/>
  <c r="BD101" i="4"/>
  <c r="BC101" i="4"/>
  <c r="BB101" i="4"/>
  <c r="BA101" i="4"/>
  <c r="DR101" i="4" s="1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DN101" i="4" s="1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DM100" i="4"/>
  <c r="CX100" i="4"/>
  <c r="CU100" i="4"/>
  <c r="CT100" i="4"/>
  <c r="CO100" i="4"/>
  <c r="CJ100" i="4"/>
  <c r="CI100" i="4"/>
  <c r="CH100" i="4"/>
  <c r="CG100" i="4"/>
  <c r="CF100" i="4"/>
  <c r="CE100" i="4"/>
  <c r="CD100" i="4"/>
  <c r="CB100" i="4"/>
  <c r="CA100" i="4"/>
  <c r="BV100" i="4"/>
  <c r="BU100" i="4"/>
  <c r="BT100" i="4"/>
  <c r="BS100" i="4"/>
  <c r="BR100" i="4"/>
  <c r="BQ100" i="4"/>
  <c r="BP100" i="4"/>
  <c r="BI100" i="4"/>
  <c r="BH100" i="4"/>
  <c r="BG100" i="4"/>
  <c r="BF100" i="4"/>
  <c r="BE100" i="4"/>
  <c r="DR100" i="4" s="1"/>
  <c r="BD100" i="4"/>
  <c r="BC100" i="4"/>
  <c r="BB100" i="4"/>
  <c r="BA100" i="4"/>
  <c r="AZ100" i="4"/>
  <c r="AY100" i="4"/>
  <c r="DQ100" i="4" s="1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DM99" i="4"/>
  <c r="CX99" i="4"/>
  <c r="CU99" i="4"/>
  <c r="CT99" i="4"/>
  <c r="CO99" i="4"/>
  <c r="CJ99" i="4"/>
  <c r="CI99" i="4"/>
  <c r="CH99" i="4"/>
  <c r="CG99" i="4"/>
  <c r="CF99" i="4"/>
  <c r="CE99" i="4"/>
  <c r="CD99" i="4"/>
  <c r="CB99" i="4"/>
  <c r="CA99" i="4"/>
  <c r="BV99" i="4"/>
  <c r="BU99" i="4"/>
  <c r="BT99" i="4"/>
  <c r="BS99" i="4"/>
  <c r="BR99" i="4"/>
  <c r="BQ99" i="4"/>
  <c r="BP99" i="4"/>
  <c r="BI99" i="4"/>
  <c r="BH99" i="4"/>
  <c r="BG99" i="4"/>
  <c r="BF99" i="4"/>
  <c r="BE99" i="4"/>
  <c r="BD99" i="4"/>
  <c r="BC99" i="4"/>
  <c r="BB99" i="4"/>
  <c r="BA99" i="4"/>
  <c r="DR99" i="4" s="1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DM98" i="4"/>
  <c r="CX98" i="4"/>
  <c r="CU98" i="4"/>
  <c r="CT98" i="4"/>
  <c r="CO98" i="4"/>
  <c r="CJ98" i="4"/>
  <c r="CI98" i="4"/>
  <c r="CH98" i="4"/>
  <c r="CG98" i="4"/>
  <c r="CF98" i="4"/>
  <c r="CE98" i="4"/>
  <c r="CD98" i="4"/>
  <c r="CB98" i="4"/>
  <c r="CA98" i="4"/>
  <c r="BV98" i="4"/>
  <c r="BU98" i="4"/>
  <c r="BT98" i="4"/>
  <c r="BS98" i="4"/>
  <c r="BR98" i="4"/>
  <c r="BQ98" i="4"/>
  <c r="BP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DQ98" i="4" s="1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DM97" i="4"/>
  <c r="CX97" i="4"/>
  <c r="CU97" i="4"/>
  <c r="CT97" i="4"/>
  <c r="CO97" i="4"/>
  <c r="CJ97" i="4"/>
  <c r="CI97" i="4"/>
  <c r="CH97" i="4"/>
  <c r="CG97" i="4"/>
  <c r="CF97" i="4"/>
  <c r="CE97" i="4"/>
  <c r="CD97" i="4"/>
  <c r="CB97" i="4"/>
  <c r="CA97" i="4"/>
  <c r="BV97" i="4"/>
  <c r="BU97" i="4"/>
  <c r="BT97" i="4"/>
  <c r="BS97" i="4"/>
  <c r="BR97" i="4"/>
  <c r="BQ97" i="4"/>
  <c r="BP97" i="4"/>
  <c r="BI97" i="4"/>
  <c r="BH97" i="4"/>
  <c r="BG97" i="4"/>
  <c r="BF97" i="4"/>
  <c r="BE97" i="4"/>
  <c r="BD97" i="4"/>
  <c r="BC97" i="4"/>
  <c r="BB97" i="4"/>
  <c r="BA97" i="4"/>
  <c r="DR97" i="4" s="1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DO97" i="4" s="1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DM96" i="4"/>
  <c r="CX96" i="4"/>
  <c r="CU96" i="4"/>
  <c r="CT96" i="4"/>
  <c r="CO96" i="4"/>
  <c r="CJ96" i="4"/>
  <c r="CI96" i="4"/>
  <c r="CH96" i="4"/>
  <c r="CG96" i="4"/>
  <c r="CF96" i="4"/>
  <c r="CE96" i="4"/>
  <c r="CD96" i="4"/>
  <c r="CB96" i="4"/>
  <c r="CA96" i="4"/>
  <c r="BV96" i="4"/>
  <c r="BU96" i="4"/>
  <c r="BT96" i="4"/>
  <c r="BS96" i="4"/>
  <c r="BR96" i="4"/>
  <c r="BQ96" i="4"/>
  <c r="BP96" i="4"/>
  <c r="BI96" i="4"/>
  <c r="BH96" i="4"/>
  <c r="BG96" i="4"/>
  <c r="BF96" i="4"/>
  <c r="BE96" i="4"/>
  <c r="BD96" i="4"/>
  <c r="BC96" i="4"/>
  <c r="BB96" i="4"/>
  <c r="BA96" i="4"/>
  <c r="DR96" i="4" s="1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DP96" i="4" s="1"/>
  <c r="AH96" i="4"/>
  <c r="AG96" i="4"/>
  <c r="AF96" i="4"/>
  <c r="AE96" i="4"/>
  <c r="AD96" i="4"/>
  <c r="AC96" i="4"/>
  <c r="AB96" i="4"/>
  <c r="DO96" i="4" s="1"/>
  <c r="AA96" i="4"/>
  <c r="DN96" i="4" s="1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DM95" i="4"/>
  <c r="CX95" i="4"/>
  <c r="CU95" i="4"/>
  <c r="CT95" i="4"/>
  <c r="CO95" i="4"/>
  <c r="CJ95" i="4"/>
  <c r="CI95" i="4"/>
  <c r="CH95" i="4"/>
  <c r="CG95" i="4"/>
  <c r="CF95" i="4"/>
  <c r="CE95" i="4"/>
  <c r="CD95" i="4"/>
  <c r="CB95" i="4"/>
  <c r="CA95" i="4"/>
  <c r="BV95" i="4"/>
  <c r="BU95" i="4"/>
  <c r="BT95" i="4"/>
  <c r="BS95" i="4"/>
  <c r="BR95" i="4"/>
  <c r="BQ95" i="4"/>
  <c r="BP95" i="4"/>
  <c r="BI95" i="4"/>
  <c r="BH95" i="4"/>
  <c r="BG95" i="4"/>
  <c r="BF95" i="4"/>
  <c r="BE95" i="4"/>
  <c r="BD95" i="4"/>
  <c r="BC95" i="4"/>
  <c r="BB95" i="4"/>
  <c r="BA95" i="4"/>
  <c r="AZ95" i="4"/>
  <c r="AY95" i="4"/>
  <c r="DQ95" i="4" s="1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DM94" i="4"/>
  <c r="CX94" i="4"/>
  <c r="CU94" i="4"/>
  <c r="CT94" i="4"/>
  <c r="CO94" i="4"/>
  <c r="CJ94" i="4"/>
  <c r="CI94" i="4"/>
  <c r="CH94" i="4"/>
  <c r="CG94" i="4"/>
  <c r="CF94" i="4"/>
  <c r="CE94" i="4"/>
  <c r="CD94" i="4"/>
  <c r="CB94" i="4"/>
  <c r="CA94" i="4"/>
  <c r="BV94" i="4"/>
  <c r="BU94" i="4"/>
  <c r="BT94" i="4"/>
  <c r="BS94" i="4"/>
  <c r="BR94" i="4"/>
  <c r="BQ94" i="4"/>
  <c r="BP94" i="4"/>
  <c r="BI94" i="4"/>
  <c r="BH94" i="4"/>
  <c r="BG94" i="4"/>
  <c r="BF94" i="4"/>
  <c r="BE94" i="4"/>
  <c r="BD94" i="4"/>
  <c r="BC94" i="4"/>
  <c r="BB94" i="4"/>
  <c r="BA94" i="4"/>
  <c r="DR94" i="4" s="1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DM93" i="4"/>
  <c r="CX93" i="4"/>
  <c r="CU93" i="4"/>
  <c r="CT93" i="4"/>
  <c r="CO93" i="4"/>
  <c r="CJ93" i="4"/>
  <c r="CI93" i="4"/>
  <c r="CH93" i="4"/>
  <c r="CG93" i="4"/>
  <c r="CF93" i="4"/>
  <c r="CE93" i="4"/>
  <c r="CD93" i="4"/>
  <c r="CB93" i="4"/>
  <c r="CA93" i="4"/>
  <c r="BV93" i="4"/>
  <c r="BU93" i="4"/>
  <c r="BT93" i="4"/>
  <c r="BS93" i="4"/>
  <c r="BR93" i="4"/>
  <c r="BQ93" i="4"/>
  <c r="BP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DM92" i="4"/>
  <c r="CX92" i="4"/>
  <c r="CU92" i="4"/>
  <c r="CT92" i="4"/>
  <c r="CO92" i="4"/>
  <c r="CJ92" i="4"/>
  <c r="CI92" i="4"/>
  <c r="CH92" i="4"/>
  <c r="CG92" i="4"/>
  <c r="CF92" i="4"/>
  <c r="CE92" i="4"/>
  <c r="CD92" i="4"/>
  <c r="CB92" i="4"/>
  <c r="CA92" i="4"/>
  <c r="BV92" i="4"/>
  <c r="BU92" i="4"/>
  <c r="BT92" i="4"/>
  <c r="BS92" i="4"/>
  <c r="BR92" i="4"/>
  <c r="BQ92" i="4"/>
  <c r="BP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DQ92" i="4" s="1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DR91" i="4"/>
  <c r="DM91" i="4"/>
  <c r="CX91" i="4"/>
  <c r="CU91" i="4"/>
  <c r="CT91" i="4"/>
  <c r="CO91" i="4"/>
  <c r="CJ91" i="4"/>
  <c r="CI91" i="4"/>
  <c r="CH91" i="4"/>
  <c r="CG91" i="4"/>
  <c r="CF91" i="4"/>
  <c r="CE91" i="4"/>
  <c r="CD91" i="4"/>
  <c r="CB91" i="4"/>
  <c r="CA91" i="4"/>
  <c r="BV91" i="4"/>
  <c r="BU91" i="4"/>
  <c r="BT91" i="4"/>
  <c r="BS91" i="4"/>
  <c r="BR91" i="4"/>
  <c r="BQ91" i="4"/>
  <c r="BP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DO91" i="4" s="1"/>
  <c r="AA91" i="4"/>
  <c r="DN91" i="4" s="1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DM90" i="4"/>
  <c r="CX90" i="4"/>
  <c r="CU90" i="4"/>
  <c r="CT90" i="4"/>
  <c r="CO90" i="4"/>
  <c r="CJ90" i="4"/>
  <c r="CI90" i="4"/>
  <c r="CH90" i="4"/>
  <c r="CG90" i="4"/>
  <c r="CF90" i="4"/>
  <c r="CE90" i="4"/>
  <c r="CD90" i="4"/>
  <c r="CB90" i="4"/>
  <c r="CA90" i="4"/>
  <c r="BV90" i="4"/>
  <c r="BU90" i="4"/>
  <c r="BT90" i="4"/>
  <c r="BS90" i="4"/>
  <c r="BR90" i="4"/>
  <c r="BQ90" i="4"/>
  <c r="BP90" i="4"/>
  <c r="BI90" i="4"/>
  <c r="BH90" i="4"/>
  <c r="BG90" i="4"/>
  <c r="BF90" i="4"/>
  <c r="BE90" i="4"/>
  <c r="BD90" i="4"/>
  <c r="BC90" i="4"/>
  <c r="BB90" i="4"/>
  <c r="BA90" i="4"/>
  <c r="DR90" i="4" s="1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DM89" i="4"/>
  <c r="CX89" i="4"/>
  <c r="CU89" i="4"/>
  <c r="CT89" i="4"/>
  <c r="CO89" i="4"/>
  <c r="CJ89" i="4"/>
  <c r="CI89" i="4"/>
  <c r="CH89" i="4"/>
  <c r="CG89" i="4"/>
  <c r="CF89" i="4"/>
  <c r="CE89" i="4"/>
  <c r="CD89" i="4"/>
  <c r="CB89" i="4"/>
  <c r="CA89" i="4"/>
  <c r="BV89" i="4"/>
  <c r="BU89" i="4"/>
  <c r="BT89" i="4"/>
  <c r="BS89" i="4"/>
  <c r="BR89" i="4"/>
  <c r="BQ89" i="4"/>
  <c r="BP89" i="4"/>
  <c r="BI89" i="4"/>
  <c r="BH89" i="4"/>
  <c r="BG89" i="4"/>
  <c r="BF89" i="4"/>
  <c r="BE89" i="4"/>
  <c r="BD89" i="4"/>
  <c r="BC89" i="4"/>
  <c r="BB89" i="4"/>
  <c r="BA89" i="4"/>
  <c r="DR89" i="4" s="1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DO89" i="4" s="1"/>
  <c r="AA89" i="4"/>
  <c r="DN89" i="4" s="1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DM88" i="4"/>
  <c r="CX88" i="4"/>
  <c r="CU88" i="4"/>
  <c r="CT88" i="4"/>
  <c r="CO88" i="4"/>
  <c r="CJ88" i="4"/>
  <c r="CI88" i="4"/>
  <c r="CH88" i="4"/>
  <c r="CG88" i="4"/>
  <c r="CF88" i="4"/>
  <c r="CE88" i="4"/>
  <c r="CD88" i="4"/>
  <c r="CB88" i="4"/>
  <c r="CA88" i="4"/>
  <c r="BV88" i="4"/>
  <c r="BU88" i="4"/>
  <c r="BT88" i="4"/>
  <c r="BS88" i="4"/>
  <c r="BR88" i="4"/>
  <c r="BQ88" i="4"/>
  <c r="BP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DP88" i="4" s="1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DM87" i="4"/>
  <c r="CX87" i="4"/>
  <c r="CU87" i="4"/>
  <c r="CT87" i="4"/>
  <c r="CO87" i="4"/>
  <c r="CJ87" i="4"/>
  <c r="CI87" i="4"/>
  <c r="CH87" i="4"/>
  <c r="CG87" i="4"/>
  <c r="CF87" i="4"/>
  <c r="CE87" i="4"/>
  <c r="CD87" i="4"/>
  <c r="CB87" i="4"/>
  <c r="CA87" i="4"/>
  <c r="BV87" i="4"/>
  <c r="BU87" i="4"/>
  <c r="BT87" i="4"/>
  <c r="BS87" i="4"/>
  <c r="BR87" i="4"/>
  <c r="BQ87" i="4"/>
  <c r="BP87" i="4"/>
  <c r="BI87" i="4"/>
  <c r="BH87" i="4"/>
  <c r="BG87" i="4"/>
  <c r="BF87" i="4"/>
  <c r="BE87" i="4"/>
  <c r="BD87" i="4"/>
  <c r="BC87" i="4"/>
  <c r="BB87" i="4"/>
  <c r="BA87" i="4"/>
  <c r="DR87" i="4" s="1"/>
  <c r="AZ87" i="4"/>
  <c r="AY87" i="4"/>
  <c r="AX87" i="4"/>
  <c r="DQ87" i="4" s="1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DR86" i="4"/>
  <c r="DM86" i="4"/>
  <c r="CX86" i="4"/>
  <c r="CU86" i="4"/>
  <c r="CT86" i="4"/>
  <c r="CO86" i="4"/>
  <c r="CJ86" i="4"/>
  <c r="CI86" i="4"/>
  <c r="CH86" i="4"/>
  <c r="CG86" i="4"/>
  <c r="CF86" i="4"/>
  <c r="CE86" i="4"/>
  <c r="CD86" i="4"/>
  <c r="CB86" i="4"/>
  <c r="CA86" i="4"/>
  <c r="BV86" i="4"/>
  <c r="BU86" i="4"/>
  <c r="BT86" i="4"/>
  <c r="BS86" i="4"/>
  <c r="BR86" i="4"/>
  <c r="BQ86" i="4"/>
  <c r="BP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DQ86" i="4" s="1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DN86" i="4" s="1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DM85" i="4"/>
  <c r="CX85" i="4"/>
  <c r="CU85" i="4"/>
  <c r="CT85" i="4"/>
  <c r="CO85" i="4"/>
  <c r="CJ85" i="4"/>
  <c r="CI85" i="4"/>
  <c r="CH85" i="4"/>
  <c r="CG85" i="4"/>
  <c r="CF85" i="4"/>
  <c r="CE85" i="4"/>
  <c r="CD85" i="4"/>
  <c r="CB85" i="4"/>
  <c r="CA85" i="4"/>
  <c r="BV85" i="4"/>
  <c r="BU85" i="4"/>
  <c r="BT85" i="4"/>
  <c r="BS85" i="4"/>
  <c r="BR85" i="4"/>
  <c r="BQ85" i="4"/>
  <c r="BP85" i="4"/>
  <c r="BI85" i="4"/>
  <c r="BH85" i="4"/>
  <c r="BG85" i="4"/>
  <c r="BF85" i="4"/>
  <c r="BE85" i="4"/>
  <c r="BD85" i="4"/>
  <c r="BC85" i="4"/>
  <c r="BB85" i="4"/>
  <c r="BA85" i="4"/>
  <c r="DR85" i="4" s="1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DM84" i="4"/>
  <c r="CX84" i="4"/>
  <c r="CU84" i="4"/>
  <c r="CT84" i="4"/>
  <c r="CO84" i="4"/>
  <c r="CJ84" i="4"/>
  <c r="CI84" i="4"/>
  <c r="CH84" i="4"/>
  <c r="CG84" i="4"/>
  <c r="CF84" i="4"/>
  <c r="CE84" i="4"/>
  <c r="CD84" i="4"/>
  <c r="CB84" i="4"/>
  <c r="CA84" i="4"/>
  <c r="BV84" i="4"/>
  <c r="BU84" i="4"/>
  <c r="BT84" i="4"/>
  <c r="BS84" i="4"/>
  <c r="BR84" i="4"/>
  <c r="BQ84" i="4"/>
  <c r="BP84" i="4"/>
  <c r="BI84" i="4"/>
  <c r="BH84" i="4"/>
  <c r="BG84" i="4"/>
  <c r="BF84" i="4"/>
  <c r="BE84" i="4"/>
  <c r="BD84" i="4"/>
  <c r="BC84" i="4"/>
  <c r="BB84" i="4"/>
  <c r="BA84" i="4"/>
  <c r="AZ84" i="4"/>
  <c r="AY84" i="4"/>
  <c r="DQ84" i="4" s="1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DP84" i="4" s="1"/>
  <c r="AH84" i="4"/>
  <c r="AG84" i="4"/>
  <c r="AF84" i="4"/>
  <c r="AE84" i="4"/>
  <c r="AD84" i="4"/>
  <c r="AC84" i="4"/>
  <c r="AB84" i="4"/>
  <c r="DO84" i="4" s="1"/>
  <c r="AA84" i="4"/>
  <c r="DN84" i="4" s="1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DM83" i="4"/>
  <c r="CX83" i="4"/>
  <c r="CU83" i="4"/>
  <c r="CT83" i="4"/>
  <c r="CO83" i="4"/>
  <c r="CJ83" i="4"/>
  <c r="CI83" i="4"/>
  <c r="CH83" i="4"/>
  <c r="CG83" i="4"/>
  <c r="CF83" i="4"/>
  <c r="CE83" i="4"/>
  <c r="CD83" i="4"/>
  <c r="CB83" i="4"/>
  <c r="CA83" i="4"/>
  <c r="BV83" i="4"/>
  <c r="BU83" i="4"/>
  <c r="BT83" i="4"/>
  <c r="BS83" i="4"/>
  <c r="BR83" i="4"/>
  <c r="BQ83" i="4"/>
  <c r="BP83" i="4"/>
  <c r="BI83" i="4"/>
  <c r="BH83" i="4"/>
  <c r="BG83" i="4"/>
  <c r="BF83" i="4"/>
  <c r="BE83" i="4"/>
  <c r="DR83" i="4" s="1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DM82" i="4"/>
  <c r="CX82" i="4"/>
  <c r="CU82" i="4"/>
  <c r="CT82" i="4"/>
  <c r="CO82" i="4"/>
  <c r="CJ82" i="4"/>
  <c r="CI82" i="4"/>
  <c r="CH82" i="4"/>
  <c r="CG82" i="4"/>
  <c r="CF82" i="4"/>
  <c r="CE82" i="4"/>
  <c r="CD82" i="4"/>
  <c r="CB82" i="4"/>
  <c r="CA82" i="4"/>
  <c r="BV82" i="4"/>
  <c r="BU82" i="4"/>
  <c r="BT82" i="4"/>
  <c r="BS82" i="4"/>
  <c r="BR82" i="4"/>
  <c r="BQ82" i="4"/>
  <c r="BP82" i="4"/>
  <c r="BI82" i="4"/>
  <c r="BH82" i="4"/>
  <c r="BG82" i="4"/>
  <c r="BF82" i="4"/>
  <c r="BE82" i="4"/>
  <c r="BD82" i="4"/>
  <c r="BC82" i="4"/>
  <c r="BB82" i="4"/>
  <c r="BA82" i="4"/>
  <c r="DR82" i="4" s="1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DO82" i="4" s="1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DM81" i="4"/>
  <c r="CX81" i="4"/>
  <c r="CU81" i="4"/>
  <c r="CT81" i="4"/>
  <c r="CO81" i="4"/>
  <c r="CJ81" i="4"/>
  <c r="CI81" i="4"/>
  <c r="CH81" i="4"/>
  <c r="CG81" i="4"/>
  <c r="CF81" i="4"/>
  <c r="CE81" i="4"/>
  <c r="CD81" i="4"/>
  <c r="CB81" i="4"/>
  <c r="CA81" i="4"/>
  <c r="BV81" i="4"/>
  <c r="BU81" i="4"/>
  <c r="BT81" i="4"/>
  <c r="BS81" i="4"/>
  <c r="BR81" i="4"/>
  <c r="BQ81" i="4"/>
  <c r="BP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DO81" i="4" s="1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DM80" i="4"/>
  <c r="CX80" i="4"/>
  <c r="CU80" i="4"/>
  <c r="CT80" i="4"/>
  <c r="CO80" i="4"/>
  <c r="CJ80" i="4"/>
  <c r="CI80" i="4"/>
  <c r="CH80" i="4"/>
  <c r="CG80" i="4"/>
  <c r="CF80" i="4"/>
  <c r="CE80" i="4"/>
  <c r="CD80" i="4"/>
  <c r="CB80" i="4"/>
  <c r="CA80" i="4"/>
  <c r="BV80" i="4"/>
  <c r="BU80" i="4"/>
  <c r="BT80" i="4"/>
  <c r="BS80" i="4"/>
  <c r="BR80" i="4"/>
  <c r="BQ80" i="4"/>
  <c r="BP80" i="4"/>
  <c r="BI80" i="4"/>
  <c r="BH80" i="4"/>
  <c r="BG80" i="4"/>
  <c r="BF80" i="4"/>
  <c r="BE80" i="4"/>
  <c r="BD80" i="4"/>
  <c r="BC80" i="4"/>
  <c r="BB80" i="4"/>
  <c r="BA80" i="4"/>
  <c r="DR80" i="4" s="1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DP80" i="4" s="1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DM79" i="4"/>
  <c r="CX79" i="4"/>
  <c r="CU79" i="4"/>
  <c r="CT79" i="4"/>
  <c r="CO79" i="4"/>
  <c r="CJ79" i="4"/>
  <c r="CI79" i="4"/>
  <c r="CH79" i="4"/>
  <c r="CG79" i="4"/>
  <c r="CF79" i="4"/>
  <c r="CE79" i="4"/>
  <c r="CD79" i="4"/>
  <c r="CB79" i="4"/>
  <c r="CA79" i="4"/>
  <c r="BV79" i="4"/>
  <c r="BU79" i="4"/>
  <c r="BT79" i="4"/>
  <c r="BS79" i="4"/>
  <c r="BR79" i="4"/>
  <c r="BQ79" i="4"/>
  <c r="BP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DQ79" i="4" s="1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DN79" i="4" s="1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DM78" i="4"/>
  <c r="CX78" i="4"/>
  <c r="CU78" i="4"/>
  <c r="CT78" i="4"/>
  <c r="CO78" i="4"/>
  <c r="CJ78" i="4"/>
  <c r="CI78" i="4"/>
  <c r="CH78" i="4"/>
  <c r="CG78" i="4"/>
  <c r="CF78" i="4"/>
  <c r="CE78" i="4"/>
  <c r="CD78" i="4"/>
  <c r="CB78" i="4"/>
  <c r="CA78" i="4"/>
  <c r="BV78" i="4"/>
  <c r="BU78" i="4"/>
  <c r="BT78" i="4"/>
  <c r="BS78" i="4"/>
  <c r="BR78" i="4"/>
  <c r="BQ78" i="4"/>
  <c r="BP78" i="4"/>
  <c r="BI78" i="4"/>
  <c r="BH78" i="4"/>
  <c r="BG78" i="4"/>
  <c r="BF78" i="4"/>
  <c r="BE78" i="4"/>
  <c r="BD78" i="4"/>
  <c r="BC78" i="4"/>
  <c r="BB78" i="4"/>
  <c r="BA78" i="4"/>
  <c r="DR78" i="4" s="1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DM77" i="4"/>
  <c r="CX77" i="4"/>
  <c r="CU77" i="4"/>
  <c r="CT77" i="4"/>
  <c r="CO77" i="4"/>
  <c r="CJ77" i="4"/>
  <c r="CI77" i="4"/>
  <c r="CH77" i="4"/>
  <c r="CG77" i="4"/>
  <c r="CF77" i="4"/>
  <c r="CE77" i="4"/>
  <c r="CD77" i="4"/>
  <c r="CB77" i="4"/>
  <c r="CA77" i="4"/>
  <c r="BV77" i="4"/>
  <c r="BU77" i="4"/>
  <c r="BT77" i="4"/>
  <c r="BS77" i="4"/>
  <c r="BR77" i="4"/>
  <c r="BQ77" i="4"/>
  <c r="BP77" i="4"/>
  <c r="BI77" i="4"/>
  <c r="BH77" i="4"/>
  <c r="BG77" i="4"/>
  <c r="BF77" i="4"/>
  <c r="BE77" i="4"/>
  <c r="BD77" i="4"/>
  <c r="BC77" i="4"/>
  <c r="BB77" i="4"/>
  <c r="BA77" i="4"/>
  <c r="DR77" i="4" s="1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DN77" i="4" s="1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DM76" i="4"/>
  <c r="CX76" i="4"/>
  <c r="CU76" i="4"/>
  <c r="CT76" i="4"/>
  <c r="CO76" i="4"/>
  <c r="CJ76" i="4"/>
  <c r="CI76" i="4"/>
  <c r="CH76" i="4"/>
  <c r="CG76" i="4"/>
  <c r="CF76" i="4"/>
  <c r="CE76" i="4"/>
  <c r="CD76" i="4"/>
  <c r="CB76" i="4"/>
  <c r="CA76" i="4"/>
  <c r="BV76" i="4"/>
  <c r="BU76" i="4"/>
  <c r="BT76" i="4"/>
  <c r="BS76" i="4"/>
  <c r="BR76" i="4"/>
  <c r="BQ76" i="4"/>
  <c r="BP76" i="4"/>
  <c r="BI76" i="4"/>
  <c r="BH76" i="4"/>
  <c r="BG76" i="4"/>
  <c r="BF76" i="4"/>
  <c r="BE76" i="4"/>
  <c r="DR76" i="4" s="1"/>
  <c r="BD76" i="4"/>
  <c r="BC76" i="4"/>
  <c r="BB76" i="4"/>
  <c r="BA76" i="4"/>
  <c r="AZ76" i="4"/>
  <c r="AY76" i="4"/>
  <c r="DQ76" i="4" s="1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DM75" i="4"/>
  <c r="CX75" i="4"/>
  <c r="CU75" i="4"/>
  <c r="CT75" i="4"/>
  <c r="CO75" i="4"/>
  <c r="CJ75" i="4"/>
  <c r="CI75" i="4"/>
  <c r="CH75" i="4"/>
  <c r="CG75" i="4"/>
  <c r="CF75" i="4"/>
  <c r="CE75" i="4"/>
  <c r="CD75" i="4"/>
  <c r="CB75" i="4"/>
  <c r="CA75" i="4"/>
  <c r="BV75" i="4"/>
  <c r="BU75" i="4"/>
  <c r="BT75" i="4"/>
  <c r="BS75" i="4"/>
  <c r="BR75" i="4"/>
  <c r="BQ75" i="4"/>
  <c r="BP75" i="4"/>
  <c r="BI75" i="4"/>
  <c r="BH75" i="4"/>
  <c r="BG75" i="4"/>
  <c r="BF75" i="4"/>
  <c r="BE75" i="4"/>
  <c r="BD75" i="4"/>
  <c r="BC75" i="4"/>
  <c r="BB75" i="4"/>
  <c r="BA75" i="4"/>
  <c r="DR75" i="4" s="1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DM74" i="4"/>
  <c r="CX74" i="4"/>
  <c r="CU74" i="4"/>
  <c r="CT74" i="4"/>
  <c r="CO74" i="4"/>
  <c r="CJ74" i="4"/>
  <c r="CI74" i="4"/>
  <c r="CH74" i="4"/>
  <c r="CG74" i="4"/>
  <c r="CF74" i="4"/>
  <c r="CE74" i="4"/>
  <c r="CD74" i="4"/>
  <c r="CB74" i="4"/>
  <c r="CA74" i="4"/>
  <c r="BV74" i="4"/>
  <c r="BU74" i="4"/>
  <c r="BT74" i="4"/>
  <c r="BS74" i="4"/>
  <c r="BR74" i="4"/>
  <c r="BQ74" i="4"/>
  <c r="BP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DM73" i="4"/>
  <c r="CX73" i="4"/>
  <c r="CU73" i="4"/>
  <c r="CT73" i="4"/>
  <c r="CO73" i="4"/>
  <c r="CJ73" i="4"/>
  <c r="CI73" i="4"/>
  <c r="CH73" i="4"/>
  <c r="CG73" i="4"/>
  <c r="CF73" i="4"/>
  <c r="CE73" i="4"/>
  <c r="CD73" i="4"/>
  <c r="CB73" i="4"/>
  <c r="CA73" i="4"/>
  <c r="BV73" i="4"/>
  <c r="BU73" i="4"/>
  <c r="BT73" i="4"/>
  <c r="BS73" i="4"/>
  <c r="BR73" i="4"/>
  <c r="BQ73" i="4"/>
  <c r="BP73" i="4"/>
  <c r="BI73" i="4"/>
  <c r="BH73" i="4"/>
  <c r="BG73" i="4"/>
  <c r="BF73" i="4"/>
  <c r="BE73" i="4"/>
  <c r="BD73" i="4"/>
  <c r="BC73" i="4"/>
  <c r="BB73" i="4"/>
  <c r="BA73" i="4"/>
  <c r="DR73" i="4" s="1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DM72" i="4"/>
  <c r="CX72" i="4"/>
  <c r="CU72" i="4"/>
  <c r="CT72" i="4"/>
  <c r="CO72" i="4"/>
  <c r="CJ72" i="4"/>
  <c r="CI72" i="4"/>
  <c r="CH72" i="4"/>
  <c r="CG72" i="4"/>
  <c r="CF72" i="4"/>
  <c r="CE72" i="4"/>
  <c r="CD72" i="4"/>
  <c r="CB72" i="4"/>
  <c r="CA72" i="4"/>
  <c r="BV72" i="4"/>
  <c r="BU72" i="4"/>
  <c r="BT72" i="4"/>
  <c r="BS72" i="4"/>
  <c r="BR72" i="4"/>
  <c r="BQ72" i="4"/>
  <c r="BP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DQ72" i="4" s="1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DM71" i="4"/>
  <c r="CX71" i="4"/>
  <c r="CU71" i="4"/>
  <c r="CT71" i="4"/>
  <c r="CO71" i="4"/>
  <c r="CJ71" i="4"/>
  <c r="CI71" i="4"/>
  <c r="CH71" i="4"/>
  <c r="CG71" i="4"/>
  <c r="CF71" i="4"/>
  <c r="CE71" i="4"/>
  <c r="CD71" i="4"/>
  <c r="CB71" i="4"/>
  <c r="CA71" i="4"/>
  <c r="BV71" i="4"/>
  <c r="BU71" i="4"/>
  <c r="BT71" i="4"/>
  <c r="BS71" i="4"/>
  <c r="BR71" i="4"/>
  <c r="BQ71" i="4"/>
  <c r="BP71" i="4"/>
  <c r="BI71" i="4"/>
  <c r="BH71" i="4"/>
  <c r="BG71" i="4"/>
  <c r="BF71" i="4"/>
  <c r="BE71" i="4"/>
  <c r="BD71" i="4"/>
  <c r="BC71" i="4"/>
  <c r="BB71" i="4"/>
  <c r="BA71" i="4"/>
  <c r="DR71" i="4" s="1"/>
  <c r="AZ71" i="4"/>
  <c r="AY71" i="4"/>
  <c r="AX71" i="4"/>
  <c r="DQ71" i="4" s="1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DR70" i="4"/>
  <c r="DM70" i="4"/>
  <c r="CX70" i="4"/>
  <c r="CU70" i="4"/>
  <c r="CT70" i="4"/>
  <c r="CO70" i="4"/>
  <c r="CJ70" i="4"/>
  <c r="CI70" i="4"/>
  <c r="CH70" i="4"/>
  <c r="CG70" i="4"/>
  <c r="CF70" i="4"/>
  <c r="CE70" i="4"/>
  <c r="CD70" i="4"/>
  <c r="CB70" i="4"/>
  <c r="CA70" i="4"/>
  <c r="BV70" i="4"/>
  <c r="BU70" i="4"/>
  <c r="BT70" i="4"/>
  <c r="BS70" i="4"/>
  <c r="BR70" i="4"/>
  <c r="BQ70" i="4"/>
  <c r="BP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DO70" i="4" s="1"/>
  <c r="AA70" i="4"/>
  <c r="DN70" i="4" s="1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DM69" i="4"/>
  <c r="CX69" i="4"/>
  <c r="CU69" i="4"/>
  <c r="CT69" i="4"/>
  <c r="CO69" i="4"/>
  <c r="CJ69" i="4"/>
  <c r="CI69" i="4"/>
  <c r="CH69" i="4"/>
  <c r="CG69" i="4"/>
  <c r="CF69" i="4"/>
  <c r="CE69" i="4"/>
  <c r="CD69" i="4"/>
  <c r="CB69" i="4"/>
  <c r="CA69" i="4"/>
  <c r="BV69" i="4"/>
  <c r="BU69" i="4"/>
  <c r="BT69" i="4"/>
  <c r="BS69" i="4"/>
  <c r="BR69" i="4"/>
  <c r="BQ69" i="4"/>
  <c r="BP69" i="4"/>
  <c r="BI69" i="4"/>
  <c r="BH69" i="4"/>
  <c r="BG69" i="4"/>
  <c r="BF69" i="4"/>
  <c r="BE69" i="4"/>
  <c r="BD69" i="4"/>
  <c r="DQ69" i="4" s="1"/>
  <c r="BC69" i="4"/>
  <c r="BB69" i="4"/>
  <c r="BA69" i="4"/>
  <c r="DR69" i="4" s="1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DM68" i="4"/>
  <c r="CX68" i="4"/>
  <c r="CU68" i="4"/>
  <c r="CT68" i="4"/>
  <c r="CO68" i="4"/>
  <c r="CJ68" i="4"/>
  <c r="CI68" i="4"/>
  <c r="CH68" i="4"/>
  <c r="CG68" i="4"/>
  <c r="CF68" i="4"/>
  <c r="CE68" i="4"/>
  <c r="CD68" i="4"/>
  <c r="CB68" i="4"/>
  <c r="CA68" i="4"/>
  <c r="BV68" i="4"/>
  <c r="BU68" i="4"/>
  <c r="BT68" i="4"/>
  <c r="BS68" i="4"/>
  <c r="BR68" i="4"/>
  <c r="BQ68" i="4"/>
  <c r="BP68" i="4"/>
  <c r="BI68" i="4"/>
  <c r="BH68" i="4"/>
  <c r="BG68" i="4"/>
  <c r="BF68" i="4"/>
  <c r="BE68" i="4"/>
  <c r="BD68" i="4"/>
  <c r="BC68" i="4"/>
  <c r="BB68" i="4"/>
  <c r="BA68" i="4"/>
  <c r="AZ68" i="4"/>
  <c r="AY68" i="4"/>
  <c r="DQ68" i="4" s="1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DO68" i="4" s="1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DM67" i="4"/>
  <c r="CX67" i="4"/>
  <c r="CU67" i="4"/>
  <c r="CT67" i="4"/>
  <c r="CO67" i="4"/>
  <c r="CJ67" i="4"/>
  <c r="CI67" i="4"/>
  <c r="CH67" i="4"/>
  <c r="CG67" i="4"/>
  <c r="CF67" i="4"/>
  <c r="CE67" i="4"/>
  <c r="CD67" i="4"/>
  <c r="CB67" i="4"/>
  <c r="CA67" i="4"/>
  <c r="BV67" i="4"/>
  <c r="BU67" i="4"/>
  <c r="BT67" i="4"/>
  <c r="BS67" i="4"/>
  <c r="BR67" i="4"/>
  <c r="BQ67" i="4"/>
  <c r="BP67" i="4"/>
  <c r="BI67" i="4"/>
  <c r="BH67" i="4"/>
  <c r="BG67" i="4"/>
  <c r="BF67" i="4"/>
  <c r="BE67" i="4"/>
  <c r="BD67" i="4"/>
  <c r="BC67" i="4"/>
  <c r="BB67" i="4"/>
  <c r="BA67" i="4"/>
  <c r="DR67" i="4" s="1"/>
  <c r="AZ67" i="4"/>
  <c r="AY67" i="4"/>
  <c r="AX67" i="4"/>
  <c r="DQ67" i="4" s="1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DM66" i="4"/>
  <c r="CX66" i="4"/>
  <c r="CU66" i="4"/>
  <c r="CT66" i="4"/>
  <c r="CO66" i="4"/>
  <c r="CJ66" i="4"/>
  <c r="CI66" i="4"/>
  <c r="CH66" i="4"/>
  <c r="CG66" i="4"/>
  <c r="CF66" i="4"/>
  <c r="CE66" i="4"/>
  <c r="CD66" i="4"/>
  <c r="CB66" i="4"/>
  <c r="CA66" i="4"/>
  <c r="BV66" i="4"/>
  <c r="BU66" i="4"/>
  <c r="BT66" i="4"/>
  <c r="BS66" i="4"/>
  <c r="BR66" i="4"/>
  <c r="BQ66" i="4"/>
  <c r="BP66" i="4"/>
  <c r="BI66" i="4"/>
  <c r="BH66" i="4"/>
  <c r="BG66" i="4"/>
  <c r="BF66" i="4"/>
  <c r="BE66" i="4"/>
  <c r="BD66" i="4"/>
  <c r="BC66" i="4"/>
  <c r="BB66" i="4"/>
  <c r="BA66" i="4"/>
  <c r="DR66" i="4" s="1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DM65" i="4"/>
  <c r="CX65" i="4"/>
  <c r="CU65" i="4"/>
  <c r="CT65" i="4"/>
  <c r="CO65" i="4"/>
  <c r="CJ65" i="4"/>
  <c r="CI65" i="4"/>
  <c r="CH65" i="4"/>
  <c r="CG65" i="4"/>
  <c r="CF65" i="4"/>
  <c r="CE65" i="4"/>
  <c r="CD65" i="4"/>
  <c r="CB65" i="4"/>
  <c r="CA65" i="4"/>
  <c r="BV65" i="4"/>
  <c r="BU65" i="4"/>
  <c r="BT65" i="4"/>
  <c r="BS65" i="4"/>
  <c r="BR65" i="4"/>
  <c r="BQ65" i="4"/>
  <c r="BP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DQ65" i="4" s="1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DO65" i="4" s="1"/>
  <c r="AG65" i="4"/>
  <c r="AF65" i="4"/>
  <c r="AE65" i="4"/>
  <c r="AD65" i="4"/>
  <c r="AC65" i="4"/>
  <c r="AB65" i="4"/>
  <c r="AA65" i="4"/>
  <c r="DN65" i="4" s="1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DM64" i="4"/>
  <c r="CX64" i="4"/>
  <c r="CU64" i="4"/>
  <c r="CT64" i="4"/>
  <c r="CO64" i="4"/>
  <c r="CJ64" i="4"/>
  <c r="CI64" i="4"/>
  <c r="CH64" i="4"/>
  <c r="CG64" i="4"/>
  <c r="CF64" i="4"/>
  <c r="CE64" i="4"/>
  <c r="CD64" i="4"/>
  <c r="CB64" i="4"/>
  <c r="CA64" i="4"/>
  <c r="BV64" i="4"/>
  <c r="BU64" i="4"/>
  <c r="BT64" i="4"/>
  <c r="BS64" i="4"/>
  <c r="BR64" i="4"/>
  <c r="BQ64" i="4"/>
  <c r="BP64" i="4"/>
  <c r="BI64" i="4"/>
  <c r="BH64" i="4"/>
  <c r="BG64" i="4"/>
  <c r="BF64" i="4"/>
  <c r="BE64" i="4"/>
  <c r="BD64" i="4"/>
  <c r="BC64" i="4"/>
  <c r="BB64" i="4"/>
  <c r="BA64" i="4"/>
  <c r="DR64" i="4" s="1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DP64" i="4" s="1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DM63" i="4"/>
  <c r="CX63" i="4"/>
  <c r="CU63" i="4"/>
  <c r="CT63" i="4"/>
  <c r="CO63" i="4"/>
  <c r="CJ63" i="4"/>
  <c r="CI63" i="4"/>
  <c r="CH63" i="4"/>
  <c r="CG63" i="4"/>
  <c r="CF63" i="4"/>
  <c r="CE63" i="4"/>
  <c r="CD63" i="4"/>
  <c r="CB63" i="4"/>
  <c r="CA63" i="4"/>
  <c r="BV63" i="4"/>
  <c r="BU63" i="4"/>
  <c r="BT63" i="4"/>
  <c r="BS63" i="4"/>
  <c r="BR63" i="4"/>
  <c r="BQ63" i="4"/>
  <c r="BP63" i="4"/>
  <c r="BI63" i="4"/>
  <c r="BH63" i="4"/>
  <c r="BG63" i="4"/>
  <c r="BF63" i="4"/>
  <c r="BE63" i="4"/>
  <c r="BD63" i="4"/>
  <c r="BC63" i="4"/>
  <c r="BB63" i="4"/>
  <c r="BA63" i="4"/>
  <c r="DR63" i="4" s="1"/>
  <c r="AZ63" i="4"/>
  <c r="AY63" i="4"/>
  <c r="DQ63" i="4" s="1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DO63" i="4" s="1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DM62" i="4"/>
  <c r="CX62" i="4"/>
  <c r="CU62" i="4"/>
  <c r="CT62" i="4"/>
  <c r="CO62" i="4"/>
  <c r="CJ62" i="4"/>
  <c r="CI62" i="4"/>
  <c r="CH62" i="4"/>
  <c r="CG62" i="4"/>
  <c r="CF62" i="4"/>
  <c r="CE62" i="4"/>
  <c r="CD62" i="4"/>
  <c r="CB62" i="4"/>
  <c r="CA62" i="4"/>
  <c r="BV62" i="4"/>
  <c r="BU62" i="4"/>
  <c r="BT62" i="4"/>
  <c r="BS62" i="4"/>
  <c r="BR62" i="4"/>
  <c r="BQ62" i="4"/>
  <c r="BP62" i="4"/>
  <c r="BI62" i="4"/>
  <c r="BH62" i="4"/>
  <c r="BG62" i="4"/>
  <c r="BF62" i="4"/>
  <c r="BE62" i="4"/>
  <c r="BD62" i="4"/>
  <c r="BC62" i="4"/>
  <c r="BB62" i="4"/>
  <c r="BA62" i="4"/>
  <c r="DR62" i="4" s="1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DM61" i="4"/>
  <c r="CX61" i="4"/>
  <c r="CU61" i="4"/>
  <c r="CT61" i="4"/>
  <c r="CO61" i="4"/>
  <c r="CJ61" i="4"/>
  <c r="CI61" i="4"/>
  <c r="CH61" i="4"/>
  <c r="CG61" i="4"/>
  <c r="CF61" i="4"/>
  <c r="CE61" i="4"/>
  <c r="CD61" i="4"/>
  <c r="CB61" i="4"/>
  <c r="CA61" i="4"/>
  <c r="BV61" i="4"/>
  <c r="BU61" i="4"/>
  <c r="BT61" i="4"/>
  <c r="BS61" i="4"/>
  <c r="BR61" i="4"/>
  <c r="BQ61" i="4"/>
  <c r="BP61" i="4"/>
  <c r="BI61" i="4"/>
  <c r="BH61" i="4"/>
  <c r="BG61" i="4"/>
  <c r="BF61" i="4"/>
  <c r="BE61" i="4"/>
  <c r="BD61" i="4"/>
  <c r="BC61" i="4"/>
  <c r="BB61" i="4"/>
  <c r="BA61" i="4"/>
  <c r="DR61" i="4" s="1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DP61" i="4" s="1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DM60" i="4"/>
  <c r="CX60" i="4"/>
  <c r="CU60" i="4"/>
  <c r="CT60" i="4"/>
  <c r="CO60" i="4"/>
  <c r="CJ60" i="4"/>
  <c r="CI60" i="4"/>
  <c r="CH60" i="4"/>
  <c r="CG60" i="4"/>
  <c r="CF60" i="4"/>
  <c r="CE60" i="4"/>
  <c r="CD60" i="4"/>
  <c r="CB60" i="4"/>
  <c r="CA60" i="4"/>
  <c r="BV60" i="4"/>
  <c r="BU60" i="4"/>
  <c r="BT60" i="4"/>
  <c r="BS60" i="4"/>
  <c r="BR60" i="4"/>
  <c r="BQ60" i="4"/>
  <c r="BP60" i="4"/>
  <c r="BI60" i="4"/>
  <c r="BH60" i="4"/>
  <c r="BG60" i="4"/>
  <c r="BF60" i="4"/>
  <c r="BE60" i="4"/>
  <c r="DR60" i="4" s="1"/>
  <c r="BD60" i="4"/>
  <c r="BC60" i="4"/>
  <c r="BB60" i="4"/>
  <c r="BA60" i="4"/>
  <c r="AZ60" i="4"/>
  <c r="AY60" i="4"/>
  <c r="AX60" i="4"/>
  <c r="DQ60" i="4" s="1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DN60" i="4" s="1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DM59" i="4"/>
  <c r="CX59" i="4"/>
  <c r="CU59" i="4"/>
  <c r="CT59" i="4"/>
  <c r="CO59" i="4"/>
  <c r="CJ59" i="4"/>
  <c r="CI59" i="4"/>
  <c r="CH59" i="4"/>
  <c r="CG59" i="4"/>
  <c r="CF59" i="4"/>
  <c r="CE59" i="4"/>
  <c r="CD59" i="4"/>
  <c r="CB59" i="4"/>
  <c r="CA59" i="4"/>
  <c r="BV59" i="4"/>
  <c r="BU59" i="4"/>
  <c r="BT59" i="4"/>
  <c r="BS59" i="4"/>
  <c r="BR59" i="4"/>
  <c r="BQ59" i="4"/>
  <c r="BP59" i="4"/>
  <c r="BI59" i="4"/>
  <c r="BH59" i="4"/>
  <c r="BG59" i="4"/>
  <c r="BF59" i="4"/>
  <c r="BE59" i="4"/>
  <c r="BD59" i="4"/>
  <c r="BC59" i="4"/>
  <c r="BB59" i="4"/>
  <c r="BA59" i="4"/>
  <c r="DR59" i="4" s="1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DM58" i="4"/>
  <c r="CX58" i="4"/>
  <c r="CU58" i="4"/>
  <c r="CT58" i="4"/>
  <c r="CO58" i="4"/>
  <c r="CJ58" i="4"/>
  <c r="CI58" i="4"/>
  <c r="CH58" i="4"/>
  <c r="CG58" i="4"/>
  <c r="CF58" i="4"/>
  <c r="CE58" i="4"/>
  <c r="CD58" i="4"/>
  <c r="CB58" i="4"/>
  <c r="CA58" i="4"/>
  <c r="BV58" i="4"/>
  <c r="BU58" i="4"/>
  <c r="BT58" i="4"/>
  <c r="BS58" i="4"/>
  <c r="BR58" i="4"/>
  <c r="BQ58" i="4"/>
  <c r="BP58" i="4"/>
  <c r="BI58" i="4"/>
  <c r="BH58" i="4"/>
  <c r="BG58" i="4"/>
  <c r="BF58" i="4"/>
  <c r="BE58" i="4"/>
  <c r="BD58" i="4"/>
  <c r="BC58" i="4"/>
  <c r="BB58" i="4"/>
  <c r="BA58" i="4"/>
  <c r="DR58" i="4" s="1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DP58" i="4" s="1"/>
  <c r="AH58" i="4"/>
  <c r="AG58" i="4"/>
  <c r="AF58" i="4"/>
  <c r="AE58" i="4"/>
  <c r="AD58" i="4"/>
  <c r="AC58" i="4"/>
  <c r="AB58" i="4"/>
  <c r="DO58" i="4" s="1"/>
  <c r="AA58" i="4"/>
  <c r="DN58" i="4" s="1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DM57" i="4"/>
  <c r="CX57" i="4"/>
  <c r="CU57" i="4"/>
  <c r="CT57" i="4"/>
  <c r="CO57" i="4"/>
  <c r="CJ57" i="4"/>
  <c r="CI57" i="4"/>
  <c r="CH57" i="4"/>
  <c r="CG57" i="4"/>
  <c r="CF57" i="4"/>
  <c r="CE57" i="4"/>
  <c r="CD57" i="4"/>
  <c r="CB57" i="4"/>
  <c r="CA57" i="4"/>
  <c r="BV57" i="4"/>
  <c r="BU57" i="4"/>
  <c r="BT57" i="4"/>
  <c r="BS57" i="4"/>
  <c r="BR57" i="4"/>
  <c r="BQ57" i="4"/>
  <c r="BP57" i="4"/>
  <c r="BI57" i="4"/>
  <c r="BH57" i="4"/>
  <c r="BG57" i="4"/>
  <c r="BF57" i="4"/>
  <c r="BE57" i="4"/>
  <c r="BD57" i="4"/>
  <c r="BC57" i="4"/>
  <c r="BB57" i="4"/>
  <c r="BA57" i="4"/>
  <c r="DR57" i="4" s="1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DM56" i="4"/>
  <c r="CX56" i="4"/>
  <c r="CU56" i="4"/>
  <c r="CT56" i="4"/>
  <c r="CO56" i="4"/>
  <c r="CJ56" i="4"/>
  <c r="CI56" i="4"/>
  <c r="CH56" i="4"/>
  <c r="CG56" i="4"/>
  <c r="CF56" i="4"/>
  <c r="CE56" i="4"/>
  <c r="CD56" i="4"/>
  <c r="CB56" i="4"/>
  <c r="CA56" i="4"/>
  <c r="BV56" i="4"/>
  <c r="BU56" i="4"/>
  <c r="BT56" i="4"/>
  <c r="BS56" i="4"/>
  <c r="BR56" i="4"/>
  <c r="BQ56" i="4"/>
  <c r="BP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DO56" i="4" s="1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DM55" i="4"/>
  <c r="CX55" i="4"/>
  <c r="CU55" i="4"/>
  <c r="CT55" i="4"/>
  <c r="CO55" i="4"/>
  <c r="CJ55" i="4"/>
  <c r="CI55" i="4"/>
  <c r="CH55" i="4"/>
  <c r="CG55" i="4"/>
  <c r="CF55" i="4"/>
  <c r="CE55" i="4"/>
  <c r="CD55" i="4"/>
  <c r="CB55" i="4"/>
  <c r="CA55" i="4"/>
  <c r="BV55" i="4"/>
  <c r="BU55" i="4"/>
  <c r="BT55" i="4"/>
  <c r="BS55" i="4"/>
  <c r="BR55" i="4"/>
  <c r="BQ55" i="4"/>
  <c r="BP55" i="4"/>
  <c r="BI55" i="4"/>
  <c r="BH55" i="4"/>
  <c r="BG55" i="4"/>
  <c r="BF55" i="4"/>
  <c r="BE55" i="4"/>
  <c r="BD55" i="4"/>
  <c r="BC55" i="4"/>
  <c r="BB55" i="4"/>
  <c r="BA55" i="4"/>
  <c r="AZ55" i="4"/>
  <c r="AY55" i="4"/>
  <c r="DQ55" i="4" s="1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DM54" i="4"/>
  <c r="CX54" i="4"/>
  <c r="CU54" i="4"/>
  <c r="CT54" i="4"/>
  <c r="CO54" i="4"/>
  <c r="CJ54" i="4"/>
  <c r="CI54" i="4"/>
  <c r="CH54" i="4"/>
  <c r="CG54" i="4"/>
  <c r="CF54" i="4"/>
  <c r="CE54" i="4"/>
  <c r="CD54" i="4"/>
  <c r="CB54" i="4"/>
  <c r="CA54" i="4"/>
  <c r="BV54" i="4"/>
  <c r="BU54" i="4"/>
  <c r="BT54" i="4"/>
  <c r="BS54" i="4"/>
  <c r="BR54" i="4"/>
  <c r="BQ54" i="4"/>
  <c r="BP54" i="4"/>
  <c r="BI54" i="4"/>
  <c r="BH54" i="4"/>
  <c r="BG54" i="4"/>
  <c r="BF54" i="4"/>
  <c r="BE54" i="4"/>
  <c r="BD54" i="4"/>
  <c r="BC54" i="4"/>
  <c r="BB54" i="4"/>
  <c r="BA54" i="4"/>
  <c r="DR54" i="4" s="1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DM53" i="4"/>
  <c r="CX53" i="4"/>
  <c r="CU53" i="4"/>
  <c r="CT53" i="4"/>
  <c r="CO53" i="4"/>
  <c r="CJ53" i="4"/>
  <c r="CI53" i="4"/>
  <c r="CH53" i="4"/>
  <c r="CG53" i="4"/>
  <c r="CF53" i="4"/>
  <c r="CE53" i="4"/>
  <c r="CD53" i="4"/>
  <c r="CB53" i="4"/>
  <c r="CA53" i="4"/>
  <c r="BV53" i="4"/>
  <c r="BU53" i="4"/>
  <c r="BT53" i="4"/>
  <c r="BS53" i="4"/>
  <c r="BR53" i="4"/>
  <c r="BQ53" i="4"/>
  <c r="BP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DM52" i="4"/>
  <c r="CX52" i="4"/>
  <c r="CU52" i="4"/>
  <c r="CT52" i="4"/>
  <c r="CO52" i="4"/>
  <c r="CJ52" i="4"/>
  <c r="CI52" i="4"/>
  <c r="CH52" i="4"/>
  <c r="CG52" i="4"/>
  <c r="CF52" i="4"/>
  <c r="CE52" i="4"/>
  <c r="CD52" i="4"/>
  <c r="CB52" i="4"/>
  <c r="CA52" i="4"/>
  <c r="BV52" i="4"/>
  <c r="BU52" i="4"/>
  <c r="BT52" i="4"/>
  <c r="BS52" i="4"/>
  <c r="BR52" i="4"/>
  <c r="BQ52" i="4"/>
  <c r="BP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DQ52" i="4" s="1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DR51" i="4"/>
  <c r="DM51" i="4"/>
  <c r="CX51" i="4"/>
  <c r="CU51" i="4"/>
  <c r="CT51" i="4"/>
  <c r="CO51" i="4"/>
  <c r="CJ51" i="4"/>
  <c r="CI51" i="4"/>
  <c r="CH51" i="4"/>
  <c r="CG51" i="4"/>
  <c r="CF51" i="4"/>
  <c r="CE51" i="4"/>
  <c r="CD51" i="4"/>
  <c r="CB51" i="4"/>
  <c r="CA51" i="4"/>
  <c r="BV51" i="4"/>
  <c r="BU51" i="4"/>
  <c r="BT51" i="4"/>
  <c r="BS51" i="4"/>
  <c r="BR51" i="4"/>
  <c r="BQ51" i="4"/>
  <c r="BP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DP51" i="4" s="1"/>
  <c r="AH51" i="4"/>
  <c r="AG51" i="4"/>
  <c r="AF51" i="4"/>
  <c r="AE51" i="4"/>
  <c r="AD51" i="4"/>
  <c r="AC51" i="4"/>
  <c r="AB51" i="4"/>
  <c r="AA51" i="4"/>
  <c r="DN51" i="4" s="1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DM50" i="4"/>
  <c r="CX50" i="4"/>
  <c r="CU50" i="4"/>
  <c r="CT50" i="4"/>
  <c r="CO50" i="4"/>
  <c r="CJ50" i="4"/>
  <c r="CI50" i="4"/>
  <c r="CH50" i="4"/>
  <c r="CG50" i="4"/>
  <c r="CF50" i="4"/>
  <c r="CE50" i="4"/>
  <c r="CD50" i="4"/>
  <c r="CB50" i="4"/>
  <c r="CA50" i="4"/>
  <c r="BV50" i="4"/>
  <c r="BU50" i="4"/>
  <c r="BT50" i="4"/>
  <c r="BS50" i="4"/>
  <c r="BR50" i="4"/>
  <c r="BQ50" i="4"/>
  <c r="BP50" i="4"/>
  <c r="BI50" i="4"/>
  <c r="BH50" i="4"/>
  <c r="BG50" i="4"/>
  <c r="BF50" i="4"/>
  <c r="BE50" i="4"/>
  <c r="BD50" i="4"/>
  <c r="BC50" i="4"/>
  <c r="BB50" i="4"/>
  <c r="BA50" i="4"/>
  <c r="DR50" i="4" s="1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DM49" i="4"/>
  <c r="CX49" i="4"/>
  <c r="CU49" i="4"/>
  <c r="CT49" i="4"/>
  <c r="CO49" i="4"/>
  <c r="CJ49" i="4"/>
  <c r="CI49" i="4"/>
  <c r="CH49" i="4"/>
  <c r="CG49" i="4"/>
  <c r="CF49" i="4"/>
  <c r="CE49" i="4"/>
  <c r="CD49" i="4"/>
  <c r="CB49" i="4"/>
  <c r="CA49" i="4"/>
  <c r="BV49" i="4"/>
  <c r="BU49" i="4"/>
  <c r="BT49" i="4"/>
  <c r="BS49" i="4"/>
  <c r="BR49" i="4"/>
  <c r="BQ49" i="4"/>
  <c r="BP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DO49" i="4" s="1"/>
  <c r="AA49" i="4"/>
  <c r="DN49" i="4" s="1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DM48" i="4"/>
  <c r="CX48" i="4"/>
  <c r="CU48" i="4"/>
  <c r="CT48" i="4"/>
  <c r="CO48" i="4"/>
  <c r="CJ48" i="4"/>
  <c r="CI48" i="4"/>
  <c r="CH48" i="4"/>
  <c r="CG48" i="4"/>
  <c r="CF48" i="4"/>
  <c r="CE48" i="4"/>
  <c r="CD48" i="4"/>
  <c r="CB48" i="4"/>
  <c r="CA48" i="4"/>
  <c r="BV48" i="4"/>
  <c r="BU48" i="4"/>
  <c r="BT48" i="4"/>
  <c r="BS48" i="4"/>
  <c r="BR48" i="4"/>
  <c r="BQ48" i="4"/>
  <c r="BP48" i="4"/>
  <c r="BI48" i="4"/>
  <c r="BH48" i="4"/>
  <c r="BG48" i="4"/>
  <c r="BF48" i="4"/>
  <c r="BE48" i="4"/>
  <c r="BD48" i="4"/>
  <c r="BC48" i="4"/>
  <c r="BB48" i="4"/>
  <c r="BA48" i="4"/>
  <c r="DR48" i="4" s="1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DM47" i="4"/>
  <c r="CX47" i="4"/>
  <c r="CU47" i="4"/>
  <c r="CT47" i="4"/>
  <c r="CO47" i="4"/>
  <c r="CJ47" i="4"/>
  <c r="CI47" i="4"/>
  <c r="CH47" i="4"/>
  <c r="CG47" i="4"/>
  <c r="CF47" i="4"/>
  <c r="CE47" i="4"/>
  <c r="CD47" i="4"/>
  <c r="CB47" i="4"/>
  <c r="CA47" i="4"/>
  <c r="BV47" i="4"/>
  <c r="BU47" i="4"/>
  <c r="BT47" i="4"/>
  <c r="BS47" i="4"/>
  <c r="BR47" i="4"/>
  <c r="BQ47" i="4"/>
  <c r="BP47" i="4"/>
  <c r="BI47" i="4"/>
  <c r="BH47" i="4"/>
  <c r="BG47" i="4"/>
  <c r="BF47" i="4"/>
  <c r="BE47" i="4"/>
  <c r="BD47" i="4"/>
  <c r="BC47" i="4"/>
  <c r="BB47" i="4"/>
  <c r="BA47" i="4"/>
  <c r="DR47" i="4" s="1"/>
  <c r="AZ47" i="4"/>
  <c r="AY47" i="4"/>
  <c r="DQ47" i="4" s="1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DM46" i="4"/>
  <c r="CX46" i="4"/>
  <c r="CU46" i="4"/>
  <c r="CT46" i="4"/>
  <c r="CO46" i="4"/>
  <c r="CJ46" i="4"/>
  <c r="CI46" i="4"/>
  <c r="CH46" i="4"/>
  <c r="CG46" i="4"/>
  <c r="CF46" i="4"/>
  <c r="CE46" i="4"/>
  <c r="CD46" i="4"/>
  <c r="CB46" i="4"/>
  <c r="CA46" i="4"/>
  <c r="BV46" i="4"/>
  <c r="BU46" i="4"/>
  <c r="BT46" i="4"/>
  <c r="BS46" i="4"/>
  <c r="BR46" i="4"/>
  <c r="BQ46" i="4"/>
  <c r="BP46" i="4"/>
  <c r="BI46" i="4"/>
  <c r="BH46" i="4"/>
  <c r="BG46" i="4"/>
  <c r="BF46" i="4"/>
  <c r="BE46" i="4"/>
  <c r="BD46" i="4"/>
  <c r="BC46" i="4"/>
  <c r="BB46" i="4"/>
  <c r="BA46" i="4"/>
  <c r="DR46" i="4" s="1"/>
  <c r="AZ46" i="4"/>
  <c r="AY46" i="4"/>
  <c r="AX46" i="4"/>
  <c r="DQ46" i="4" s="1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DM45" i="4"/>
  <c r="CX45" i="4"/>
  <c r="CU45" i="4"/>
  <c r="CT45" i="4"/>
  <c r="CO45" i="4"/>
  <c r="CJ45" i="4"/>
  <c r="CI45" i="4"/>
  <c r="CH45" i="4"/>
  <c r="CG45" i="4"/>
  <c r="CF45" i="4"/>
  <c r="CE45" i="4"/>
  <c r="CD45" i="4"/>
  <c r="CB45" i="4"/>
  <c r="CA45" i="4"/>
  <c r="BV45" i="4"/>
  <c r="BU45" i="4"/>
  <c r="BT45" i="4"/>
  <c r="BS45" i="4"/>
  <c r="BR45" i="4"/>
  <c r="BQ45" i="4"/>
  <c r="BP45" i="4"/>
  <c r="BI45" i="4"/>
  <c r="BH45" i="4"/>
  <c r="BG45" i="4"/>
  <c r="BF45" i="4"/>
  <c r="BE45" i="4"/>
  <c r="BD45" i="4"/>
  <c r="BC45" i="4"/>
  <c r="BB45" i="4"/>
  <c r="BA45" i="4"/>
  <c r="DR45" i="4" s="1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DM44" i="4"/>
  <c r="CX44" i="4"/>
  <c r="CU44" i="4"/>
  <c r="CT44" i="4"/>
  <c r="CO44" i="4"/>
  <c r="CJ44" i="4"/>
  <c r="CI44" i="4"/>
  <c r="CH44" i="4"/>
  <c r="CG44" i="4"/>
  <c r="CF44" i="4"/>
  <c r="CE44" i="4"/>
  <c r="CD44" i="4"/>
  <c r="CB44" i="4"/>
  <c r="CA44" i="4"/>
  <c r="BV44" i="4"/>
  <c r="BU44" i="4"/>
  <c r="BT44" i="4"/>
  <c r="BS44" i="4"/>
  <c r="BR44" i="4"/>
  <c r="BQ44" i="4"/>
  <c r="BP44" i="4"/>
  <c r="BI44" i="4"/>
  <c r="BH44" i="4"/>
  <c r="BG44" i="4"/>
  <c r="BF44" i="4"/>
  <c r="BE44" i="4"/>
  <c r="DR44" i="4" s="1"/>
  <c r="BD44" i="4"/>
  <c r="BC44" i="4"/>
  <c r="BB44" i="4"/>
  <c r="BA44" i="4"/>
  <c r="AZ44" i="4"/>
  <c r="AY44" i="4"/>
  <c r="AX44" i="4"/>
  <c r="DQ44" i="4" s="1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DM43" i="4"/>
  <c r="CX43" i="4"/>
  <c r="CU43" i="4"/>
  <c r="CT43" i="4"/>
  <c r="CO43" i="4"/>
  <c r="CJ43" i="4"/>
  <c r="CI43" i="4"/>
  <c r="CH43" i="4"/>
  <c r="CG43" i="4"/>
  <c r="CF43" i="4"/>
  <c r="CE43" i="4"/>
  <c r="CD43" i="4"/>
  <c r="CB43" i="4"/>
  <c r="CA43" i="4"/>
  <c r="BV43" i="4"/>
  <c r="BU43" i="4"/>
  <c r="BT43" i="4"/>
  <c r="BS43" i="4"/>
  <c r="BR43" i="4"/>
  <c r="BQ43" i="4"/>
  <c r="BP43" i="4"/>
  <c r="BI43" i="4"/>
  <c r="BH43" i="4"/>
  <c r="BG43" i="4"/>
  <c r="BF43" i="4"/>
  <c r="BE43" i="4"/>
  <c r="BD43" i="4"/>
  <c r="BC43" i="4"/>
  <c r="BB43" i="4"/>
  <c r="BA43" i="4"/>
  <c r="DR43" i="4" s="1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DM42" i="4"/>
  <c r="CX42" i="4"/>
  <c r="CU42" i="4"/>
  <c r="CT42" i="4"/>
  <c r="CO42" i="4"/>
  <c r="CJ42" i="4"/>
  <c r="CI42" i="4"/>
  <c r="CH42" i="4"/>
  <c r="CG42" i="4"/>
  <c r="CF42" i="4"/>
  <c r="CE42" i="4"/>
  <c r="CD42" i="4"/>
  <c r="CB42" i="4"/>
  <c r="CA42" i="4"/>
  <c r="BV42" i="4"/>
  <c r="BU42" i="4"/>
  <c r="BT42" i="4"/>
  <c r="BS42" i="4"/>
  <c r="BR42" i="4"/>
  <c r="BQ42" i="4"/>
  <c r="BP42" i="4"/>
  <c r="BI42" i="4"/>
  <c r="BH42" i="4"/>
  <c r="BG42" i="4"/>
  <c r="BF42" i="4"/>
  <c r="BE42" i="4"/>
  <c r="BD42" i="4"/>
  <c r="BC42" i="4"/>
  <c r="BB42" i="4"/>
  <c r="BA42" i="4"/>
  <c r="DR42" i="4" s="1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DP42" i="4" s="1"/>
  <c r="AH42" i="4"/>
  <c r="AG42" i="4"/>
  <c r="AF42" i="4"/>
  <c r="AE42" i="4"/>
  <c r="AD42" i="4"/>
  <c r="AC42" i="4"/>
  <c r="AB42" i="4"/>
  <c r="DO42" i="4" s="1"/>
  <c r="AA42" i="4"/>
  <c r="DN42" i="4" s="1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DM41" i="4"/>
  <c r="CX41" i="4"/>
  <c r="CU41" i="4"/>
  <c r="CT41" i="4"/>
  <c r="CO41" i="4"/>
  <c r="CJ41" i="4"/>
  <c r="CI41" i="4"/>
  <c r="CH41" i="4"/>
  <c r="CG41" i="4"/>
  <c r="CF41" i="4"/>
  <c r="CE41" i="4"/>
  <c r="CD41" i="4"/>
  <c r="CB41" i="4"/>
  <c r="CA41" i="4"/>
  <c r="BV41" i="4"/>
  <c r="BU41" i="4"/>
  <c r="BT41" i="4"/>
  <c r="BS41" i="4"/>
  <c r="BR41" i="4"/>
  <c r="BQ41" i="4"/>
  <c r="BP41" i="4"/>
  <c r="BI41" i="4"/>
  <c r="BH41" i="4"/>
  <c r="BG41" i="4"/>
  <c r="BF41" i="4"/>
  <c r="BE41" i="4"/>
  <c r="BD41" i="4"/>
  <c r="BC41" i="4"/>
  <c r="BB41" i="4"/>
  <c r="BA41" i="4"/>
  <c r="DR41" i="4" s="1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DM40" i="4"/>
  <c r="CX40" i="4"/>
  <c r="CU40" i="4"/>
  <c r="CT40" i="4"/>
  <c r="CO40" i="4"/>
  <c r="CJ40" i="4"/>
  <c r="CI40" i="4"/>
  <c r="CH40" i="4"/>
  <c r="CG40" i="4"/>
  <c r="CF40" i="4"/>
  <c r="CE40" i="4"/>
  <c r="CD40" i="4"/>
  <c r="CB40" i="4"/>
  <c r="CA40" i="4"/>
  <c r="BV40" i="4"/>
  <c r="BU40" i="4"/>
  <c r="BT40" i="4"/>
  <c r="BS40" i="4"/>
  <c r="BR40" i="4"/>
  <c r="BQ40" i="4"/>
  <c r="BP40" i="4"/>
  <c r="BI40" i="4"/>
  <c r="BH40" i="4"/>
  <c r="BG40" i="4"/>
  <c r="BF40" i="4"/>
  <c r="BE40" i="4"/>
  <c r="BD40" i="4"/>
  <c r="BC40" i="4"/>
  <c r="BB40" i="4"/>
  <c r="BA40" i="4"/>
  <c r="DR40" i="4" s="1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DO40" i="4" s="1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DM39" i="4"/>
  <c r="CX39" i="4"/>
  <c r="CU39" i="4"/>
  <c r="CT39" i="4"/>
  <c r="CO39" i="4"/>
  <c r="CJ39" i="4"/>
  <c r="CI39" i="4"/>
  <c r="CH39" i="4"/>
  <c r="CG39" i="4"/>
  <c r="CF39" i="4"/>
  <c r="CE39" i="4"/>
  <c r="CD39" i="4"/>
  <c r="CB39" i="4"/>
  <c r="CA39" i="4"/>
  <c r="BV39" i="4"/>
  <c r="BU39" i="4"/>
  <c r="BT39" i="4"/>
  <c r="BS39" i="4"/>
  <c r="BR39" i="4"/>
  <c r="BQ39" i="4"/>
  <c r="BP39" i="4"/>
  <c r="BI39" i="4"/>
  <c r="BH39" i="4"/>
  <c r="BG39" i="4"/>
  <c r="BF39" i="4"/>
  <c r="BE39" i="4"/>
  <c r="BD39" i="4"/>
  <c r="BC39" i="4"/>
  <c r="BB39" i="4"/>
  <c r="BA39" i="4"/>
  <c r="AZ39" i="4"/>
  <c r="AY39" i="4"/>
  <c r="DQ39" i="4" s="1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DM38" i="4"/>
  <c r="CX38" i="4"/>
  <c r="CU38" i="4"/>
  <c r="CT38" i="4"/>
  <c r="CO38" i="4"/>
  <c r="CJ38" i="4"/>
  <c r="CI38" i="4"/>
  <c r="CH38" i="4"/>
  <c r="CG38" i="4"/>
  <c r="CF38" i="4"/>
  <c r="CE38" i="4"/>
  <c r="CD38" i="4"/>
  <c r="CB38" i="4"/>
  <c r="CA38" i="4"/>
  <c r="BV38" i="4"/>
  <c r="BU38" i="4"/>
  <c r="BT38" i="4"/>
  <c r="BS38" i="4"/>
  <c r="BR38" i="4"/>
  <c r="BQ38" i="4"/>
  <c r="BP38" i="4"/>
  <c r="BI38" i="4"/>
  <c r="BH38" i="4"/>
  <c r="BG38" i="4"/>
  <c r="BF38" i="4"/>
  <c r="BE38" i="4"/>
  <c r="BD38" i="4"/>
  <c r="BC38" i="4"/>
  <c r="BB38" i="4"/>
  <c r="BA38" i="4"/>
  <c r="DR38" i="4" s="1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DM37" i="4"/>
  <c r="CX37" i="4"/>
  <c r="CU37" i="4"/>
  <c r="CT37" i="4"/>
  <c r="CO37" i="4"/>
  <c r="CJ37" i="4"/>
  <c r="CI37" i="4"/>
  <c r="CH37" i="4"/>
  <c r="CG37" i="4"/>
  <c r="CF37" i="4"/>
  <c r="CE37" i="4"/>
  <c r="CD37" i="4"/>
  <c r="CB37" i="4"/>
  <c r="CA37" i="4"/>
  <c r="BV37" i="4"/>
  <c r="BU37" i="4"/>
  <c r="BT37" i="4"/>
  <c r="BS37" i="4"/>
  <c r="BR37" i="4"/>
  <c r="BQ37" i="4"/>
  <c r="BP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DM36" i="4"/>
  <c r="CX36" i="4"/>
  <c r="CU36" i="4"/>
  <c r="CT36" i="4"/>
  <c r="CO36" i="4"/>
  <c r="CJ36" i="4"/>
  <c r="CI36" i="4"/>
  <c r="CH36" i="4"/>
  <c r="CG36" i="4"/>
  <c r="CF36" i="4"/>
  <c r="CE36" i="4"/>
  <c r="CD36" i="4"/>
  <c r="CB36" i="4"/>
  <c r="CA36" i="4"/>
  <c r="BV36" i="4"/>
  <c r="BU36" i="4"/>
  <c r="BT36" i="4"/>
  <c r="BS36" i="4"/>
  <c r="BR36" i="4"/>
  <c r="BQ36" i="4"/>
  <c r="BP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DQ36" i="4" s="1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DR35" i="4"/>
  <c r="DM35" i="4"/>
  <c r="CX35" i="4"/>
  <c r="CU35" i="4"/>
  <c r="CT35" i="4"/>
  <c r="CO35" i="4"/>
  <c r="CJ35" i="4"/>
  <c r="CI35" i="4"/>
  <c r="CH35" i="4"/>
  <c r="CG35" i="4"/>
  <c r="CF35" i="4"/>
  <c r="CE35" i="4"/>
  <c r="CD35" i="4"/>
  <c r="CB35" i="4"/>
  <c r="CA35" i="4"/>
  <c r="BV35" i="4"/>
  <c r="BU35" i="4"/>
  <c r="BT35" i="4"/>
  <c r="BS35" i="4"/>
  <c r="BR35" i="4"/>
  <c r="BQ35" i="4"/>
  <c r="BP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DP35" i="4" s="1"/>
  <c r="AH35" i="4"/>
  <c r="AG35" i="4"/>
  <c r="AF35" i="4"/>
  <c r="AE35" i="4"/>
  <c r="AD35" i="4"/>
  <c r="AC35" i="4"/>
  <c r="AB35" i="4"/>
  <c r="DO35" i="4" s="1"/>
  <c r="AA35" i="4"/>
  <c r="DN35" i="4" s="1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DM34" i="4"/>
  <c r="CX34" i="4"/>
  <c r="CU34" i="4"/>
  <c r="CT34" i="4"/>
  <c r="CO34" i="4"/>
  <c r="CJ34" i="4"/>
  <c r="CI34" i="4"/>
  <c r="CH34" i="4"/>
  <c r="CG34" i="4"/>
  <c r="CF34" i="4"/>
  <c r="CE34" i="4"/>
  <c r="CD34" i="4"/>
  <c r="CB34" i="4"/>
  <c r="CA34" i="4"/>
  <c r="BV34" i="4"/>
  <c r="BU34" i="4"/>
  <c r="BT34" i="4"/>
  <c r="BS34" i="4"/>
  <c r="BR34" i="4"/>
  <c r="BQ34" i="4"/>
  <c r="BP34" i="4"/>
  <c r="BI34" i="4"/>
  <c r="BH34" i="4"/>
  <c r="BG34" i="4"/>
  <c r="BF34" i="4"/>
  <c r="BE34" i="4"/>
  <c r="BD34" i="4"/>
  <c r="BC34" i="4"/>
  <c r="BB34" i="4"/>
  <c r="BA34" i="4"/>
  <c r="DR34" i="4" s="1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DM33" i="4"/>
  <c r="CX33" i="4"/>
  <c r="CU33" i="4"/>
  <c r="CT33" i="4"/>
  <c r="CO33" i="4"/>
  <c r="CJ33" i="4"/>
  <c r="CI33" i="4"/>
  <c r="CH33" i="4"/>
  <c r="CG33" i="4"/>
  <c r="CF33" i="4"/>
  <c r="CE33" i="4"/>
  <c r="CD33" i="4"/>
  <c r="CB33" i="4"/>
  <c r="CA33" i="4"/>
  <c r="BV33" i="4"/>
  <c r="BU33" i="4"/>
  <c r="BT33" i="4"/>
  <c r="BS33" i="4"/>
  <c r="BR33" i="4"/>
  <c r="BQ33" i="4"/>
  <c r="BP33" i="4"/>
  <c r="BI33" i="4"/>
  <c r="BH33" i="4"/>
  <c r="BG33" i="4"/>
  <c r="BF33" i="4"/>
  <c r="BE33" i="4"/>
  <c r="BD33" i="4"/>
  <c r="BC33" i="4"/>
  <c r="BB33" i="4"/>
  <c r="BA33" i="4"/>
  <c r="DR33" i="4" s="1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DO33" i="4" s="1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DM32" i="4"/>
  <c r="CX32" i="4"/>
  <c r="CU32" i="4"/>
  <c r="CT32" i="4"/>
  <c r="CO32" i="4"/>
  <c r="CJ32" i="4"/>
  <c r="CI32" i="4"/>
  <c r="CH32" i="4"/>
  <c r="CG32" i="4"/>
  <c r="CF32" i="4"/>
  <c r="CE32" i="4"/>
  <c r="CD32" i="4"/>
  <c r="CB32" i="4"/>
  <c r="CA32" i="4"/>
  <c r="BV32" i="4"/>
  <c r="BU32" i="4"/>
  <c r="BT32" i="4"/>
  <c r="BS32" i="4"/>
  <c r="BR32" i="4"/>
  <c r="BQ32" i="4"/>
  <c r="BP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DQ32" i="4" s="1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DP32" i="4" s="1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DM31" i="4"/>
  <c r="CX31" i="4"/>
  <c r="CU31" i="4"/>
  <c r="CT31" i="4"/>
  <c r="CO31" i="4"/>
  <c r="CJ31" i="4"/>
  <c r="CI31" i="4"/>
  <c r="CH31" i="4"/>
  <c r="CG31" i="4"/>
  <c r="CF31" i="4"/>
  <c r="CE31" i="4"/>
  <c r="CD31" i="4"/>
  <c r="CB31" i="4"/>
  <c r="CA31" i="4"/>
  <c r="BV31" i="4"/>
  <c r="BU31" i="4"/>
  <c r="BT31" i="4"/>
  <c r="BS31" i="4"/>
  <c r="BR31" i="4"/>
  <c r="BQ31" i="4"/>
  <c r="BP31" i="4"/>
  <c r="BI31" i="4"/>
  <c r="BH31" i="4"/>
  <c r="BG31" i="4"/>
  <c r="BF31" i="4"/>
  <c r="BE31" i="4"/>
  <c r="BD31" i="4"/>
  <c r="BC31" i="4"/>
  <c r="BB31" i="4"/>
  <c r="BA31" i="4"/>
  <c r="DR31" i="4" s="1"/>
  <c r="AZ31" i="4"/>
  <c r="AY31" i="4"/>
  <c r="AX31" i="4"/>
  <c r="DQ31" i="4" s="1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DR30" i="4"/>
  <c r="DM30" i="4"/>
  <c r="CX30" i="4"/>
  <c r="CU30" i="4"/>
  <c r="CT30" i="4"/>
  <c r="CO30" i="4"/>
  <c r="CJ30" i="4"/>
  <c r="CI30" i="4"/>
  <c r="CH30" i="4"/>
  <c r="CG30" i="4"/>
  <c r="CF30" i="4"/>
  <c r="CE30" i="4"/>
  <c r="CD30" i="4"/>
  <c r="CB30" i="4"/>
  <c r="CA30" i="4"/>
  <c r="BV30" i="4"/>
  <c r="BU30" i="4"/>
  <c r="BT30" i="4"/>
  <c r="BS30" i="4"/>
  <c r="BR30" i="4"/>
  <c r="BQ30" i="4"/>
  <c r="BP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DO30" i="4" s="1"/>
  <c r="AA30" i="4"/>
  <c r="DN30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DM29" i="4"/>
  <c r="CX29" i="4"/>
  <c r="CU29" i="4"/>
  <c r="CT29" i="4"/>
  <c r="CO29" i="4"/>
  <c r="CJ29" i="4"/>
  <c r="CI29" i="4"/>
  <c r="CH29" i="4"/>
  <c r="CG29" i="4"/>
  <c r="CF29" i="4"/>
  <c r="CE29" i="4"/>
  <c r="CD29" i="4"/>
  <c r="CB29" i="4"/>
  <c r="CA29" i="4"/>
  <c r="BV29" i="4"/>
  <c r="BU29" i="4"/>
  <c r="BT29" i="4"/>
  <c r="BS29" i="4"/>
  <c r="BR29" i="4"/>
  <c r="BQ29" i="4"/>
  <c r="BP29" i="4"/>
  <c r="BI29" i="4"/>
  <c r="BH29" i="4"/>
  <c r="BG29" i="4"/>
  <c r="BF29" i="4"/>
  <c r="BE29" i="4"/>
  <c r="BD29" i="4"/>
  <c r="DQ29" i="4" s="1"/>
  <c r="BC29" i="4"/>
  <c r="BB29" i="4"/>
  <c r="BA29" i="4"/>
  <c r="DR29" i="4" s="1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DM28" i="4"/>
  <c r="CX28" i="4"/>
  <c r="CU28" i="4"/>
  <c r="CT28" i="4"/>
  <c r="CO28" i="4"/>
  <c r="CJ28" i="4"/>
  <c r="CI28" i="4"/>
  <c r="CH28" i="4"/>
  <c r="CG28" i="4"/>
  <c r="CF28" i="4"/>
  <c r="CE28" i="4"/>
  <c r="CD28" i="4"/>
  <c r="CB28" i="4"/>
  <c r="CA28" i="4"/>
  <c r="BV28" i="4"/>
  <c r="BU28" i="4"/>
  <c r="BT28" i="4"/>
  <c r="BS28" i="4"/>
  <c r="BR28" i="4"/>
  <c r="BQ28" i="4"/>
  <c r="BP28" i="4"/>
  <c r="BI28" i="4"/>
  <c r="BH28" i="4"/>
  <c r="BG28" i="4"/>
  <c r="BF28" i="4"/>
  <c r="BE28" i="4"/>
  <c r="BD28" i="4"/>
  <c r="BC28" i="4"/>
  <c r="BB28" i="4"/>
  <c r="BA28" i="4"/>
  <c r="AZ28" i="4"/>
  <c r="AY28" i="4"/>
  <c r="DQ28" i="4" s="1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D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DM27" i="4"/>
  <c r="CX27" i="4"/>
  <c r="CU27" i="4"/>
  <c r="CT27" i="4"/>
  <c r="CO27" i="4"/>
  <c r="CJ27" i="4"/>
  <c r="CI27" i="4"/>
  <c r="CH27" i="4"/>
  <c r="CG27" i="4"/>
  <c r="CF27" i="4"/>
  <c r="CE27" i="4"/>
  <c r="CD27" i="4"/>
  <c r="CB27" i="4"/>
  <c r="CA27" i="4"/>
  <c r="BV27" i="4"/>
  <c r="BU27" i="4"/>
  <c r="BT27" i="4"/>
  <c r="BS27" i="4"/>
  <c r="BR27" i="4"/>
  <c r="BQ27" i="4"/>
  <c r="BP27" i="4"/>
  <c r="BI27" i="4"/>
  <c r="BH27" i="4"/>
  <c r="BG27" i="4"/>
  <c r="BF27" i="4"/>
  <c r="BE27" i="4"/>
  <c r="BD27" i="4"/>
  <c r="BC27" i="4"/>
  <c r="BB27" i="4"/>
  <c r="BA27" i="4"/>
  <c r="DR27" i="4" s="1"/>
  <c r="AZ27" i="4"/>
  <c r="AY27" i="4"/>
  <c r="AX27" i="4"/>
  <c r="DQ27" i="4" s="1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DM26" i="4"/>
  <c r="CX26" i="4"/>
  <c r="CU26" i="4"/>
  <c r="CT26" i="4"/>
  <c r="CO26" i="4"/>
  <c r="CJ26" i="4"/>
  <c r="CI26" i="4"/>
  <c r="CH26" i="4"/>
  <c r="CG26" i="4"/>
  <c r="CF26" i="4"/>
  <c r="CE26" i="4"/>
  <c r="CD26" i="4"/>
  <c r="CB26" i="4"/>
  <c r="CA26" i="4"/>
  <c r="BV26" i="4"/>
  <c r="BU26" i="4"/>
  <c r="BT26" i="4"/>
  <c r="BS26" i="4"/>
  <c r="BR26" i="4"/>
  <c r="BQ26" i="4"/>
  <c r="BP26" i="4"/>
  <c r="BI26" i="4"/>
  <c r="BH26" i="4"/>
  <c r="BG26" i="4"/>
  <c r="BF26" i="4"/>
  <c r="BE26" i="4"/>
  <c r="BD26" i="4"/>
  <c r="BC26" i="4"/>
  <c r="BB26" i="4"/>
  <c r="BA26" i="4"/>
  <c r="DR26" i="4" s="1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DM25" i="4"/>
  <c r="CX25" i="4"/>
  <c r="CU25" i="4"/>
  <c r="CT25" i="4"/>
  <c r="CO25" i="4"/>
  <c r="CJ25" i="4"/>
  <c r="CI25" i="4"/>
  <c r="CH25" i="4"/>
  <c r="CG25" i="4"/>
  <c r="CF25" i="4"/>
  <c r="CE25" i="4"/>
  <c r="CD25" i="4"/>
  <c r="CB25" i="4"/>
  <c r="CA25" i="4"/>
  <c r="BV25" i="4"/>
  <c r="BU25" i="4"/>
  <c r="BT25" i="4"/>
  <c r="BS25" i="4"/>
  <c r="BR25" i="4"/>
  <c r="BQ25" i="4"/>
  <c r="BP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DQ25" i="4" s="1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DM24" i="4"/>
  <c r="CX24" i="4"/>
  <c r="CU24" i="4"/>
  <c r="CT24" i="4"/>
  <c r="CO24" i="4"/>
  <c r="CJ24" i="4"/>
  <c r="CI24" i="4"/>
  <c r="CH24" i="4"/>
  <c r="CG24" i="4"/>
  <c r="CF24" i="4"/>
  <c r="CE24" i="4"/>
  <c r="CD24" i="4"/>
  <c r="CB24" i="4"/>
  <c r="CA24" i="4"/>
  <c r="BV24" i="4"/>
  <c r="BU24" i="4"/>
  <c r="BT24" i="4"/>
  <c r="BS24" i="4"/>
  <c r="BR24" i="4"/>
  <c r="BQ24" i="4"/>
  <c r="BP24" i="4"/>
  <c r="BI24" i="4"/>
  <c r="BH24" i="4"/>
  <c r="BG24" i="4"/>
  <c r="BF24" i="4"/>
  <c r="BE24" i="4"/>
  <c r="BD24" i="4"/>
  <c r="BC24" i="4"/>
  <c r="BB24" i="4"/>
  <c r="BA24" i="4"/>
  <c r="DR24" i="4" s="1"/>
  <c r="AZ24" i="4"/>
  <c r="AY24" i="4"/>
  <c r="AX24" i="4"/>
  <c r="DQ24" i="4" s="1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DP24" i="4" s="1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DM23" i="4"/>
  <c r="CX23" i="4"/>
  <c r="CU23" i="4"/>
  <c r="CT23" i="4"/>
  <c r="CO23" i="4"/>
  <c r="CJ23" i="4"/>
  <c r="CI23" i="4"/>
  <c r="CH23" i="4"/>
  <c r="CG23" i="4"/>
  <c r="CF23" i="4"/>
  <c r="CE23" i="4"/>
  <c r="CD23" i="4"/>
  <c r="CB23" i="4"/>
  <c r="CA23" i="4"/>
  <c r="BV23" i="4"/>
  <c r="BU23" i="4"/>
  <c r="BT23" i="4"/>
  <c r="BS23" i="4"/>
  <c r="BR23" i="4"/>
  <c r="BQ23" i="4"/>
  <c r="BP23" i="4"/>
  <c r="BI23" i="4"/>
  <c r="BH23" i="4"/>
  <c r="BG23" i="4"/>
  <c r="BF23" i="4"/>
  <c r="BE23" i="4"/>
  <c r="BD23" i="4"/>
  <c r="BC23" i="4"/>
  <c r="BB23" i="4"/>
  <c r="BA23" i="4"/>
  <c r="DR23" i="4" s="1"/>
  <c r="AZ23" i="4"/>
  <c r="AY23" i="4"/>
  <c r="DQ23" i="4" s="1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DO23" i="4" s="1"/>
  <c r="AA23" i="4"/>
  <c r="DN23" i="4" s="1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DM22" i="4"/>
  <c r="CX22" i="4"/>
  <c r="CU22" i="4"/>
  <c r="CT22" i="4"/>
  <c r="CO22" i="4"/>
  <c r="CJ22" i="4"/>
  <c r="CI22" i="4"/>
  <c r="CH22" i="4"/>
  <c r="CG22" i="4"/>
  <c r="CF22" i="4"/>
  <c r="CE22" i="4"/>
  <c r="CD22" i="4"/>
  <c r="CB22" i="4"/>
  <c r="CA22" i="4"/>
  <c r="BV22" i="4"/>
  <c r="BU22" i="4"/>
  <c r="BT22" i="4"/>
  <c r="BS22" i="4"/>
  <c r="BR22" i="4"/>
  <c r="BQ22" i="4"/>
  <c r="BP22" i="4"/>
  <c r="BI22" i="4"/>
  <c r="BH22" i="4"/>
  <c r="BG22" i="4"/>
  <c r="BF22" i="4"/>
  <c r="BE22" i="4"/>
  <c r="DR22" i="4" s="1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DM21" i="4"/>
  <c r="CX21" i="4"/>
  <c r="CU21" i="4"/>
  <c r="CT21" i="4"/>
  <c r="CO21" i="4"/>
  <c r="CJ21" i="4"/>
  <c r="CI21" i="4"/>
  <c r="CH21" i="4"/>
  <c r="CG21" i="4"/>
  <c r="CF21" i="4"/>
  <c r="CE21" i="4"/>
  <c r="CD21" i="4"/>
  <c r="CB21" i="4"/>
  <c r="CA21" i="4"/>
  <c r="BV21" i="4"/>
  <c r="BU21" i="4"/>
  <c r="BT21" i="4"/>
  <c r="BS21" i="4"/>
  <c r="BR21" i="4"/>
  <c r="BQ21" i="4"/>
  <c r="BP21" i="4"/>
  <c r="BI21" i="4"/>
  <c r="BH21" i="4"/>
  <c r="BG21" i="4"/>
  <c r="BF21" i="4"/>
  <c r="BE21" i="4"/>
  <c r="BD21" i="4"/>
  <c r="BC21" i="4"/>
  <c r="BB21" i="4"/>
  <c r="BA21" i="4"/>
  <c r="DR21" i="4" s="1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DM20" i="4"/>
  <c r="CX20" i="4"/>
  <c r="CU20" i="4"/>
  <c r="CT20" i="4"/>
  <c r="CO20" i="4"/>
  <c r="CJ20" i="4"/>
  <c r="CI20" i="4"/>
  <c r="CH20" i="4"/>
  <c r="CG20" i="4"/>
  <c r="CF20" i="4"/>
  <c r="CE20" i="4"/>
  <c r="CD20" i="4"/>
  <c r="CB20" i="4"/>
  <c r="CA20" i="4"/>
  <c r="BV20" i="4"/>
  <c r="BU20" i="4"/>
  <c r="BT20" i="4"/>
  <c r="BS20" i="4"/>
  <c r="BR20" i="4"/>
  <c r="BQ20" i="4"/>
  <c r="BP20" i="4"/>
  <c r="BI20" i="4"/>
  <c r="BH20" i="4"/>
  <c r="BG20" i="4"/>
  <c r="BF20" i="4"/>
  <c r="BE20" i="4"/>
  <c r="DR20" i="4" s="1"/>
  <c r="BD20" i="4"/>
  <c r="BC20" i="4"/>
  <c r="BB20" i="4"/>
  <c r="BA20" i="4"/>
  <c r="AZ20" i="4"/>
  <c r="AY20" i="4"/>
  <c r="AX20" i="4"/>
  <c r="DQ20" i="4" s="1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DM19" i="4"/>
  <c r="CX19" i="4"/>
  <c r="CU19" i="4"/>
  <c r="CT19" i="4"/>
  <c r="CO19" i="4"/>
  <c r="CJ19" i="4"/>
  <c r="CI19" i="4"/>
  <c r="CH19" i="4"/>
  <c r="CG19" i="4"/>
  <c r="CF19" i="4"/>
  <c r="CE19" i="4"/>
  <c r="CD19" i="4"/>
  <c r="CB19" i="4"/>
  <c r="CA19" i="4"/>
  <c r="BV19" i="4"/>
  <c r="BU19" i="4"/>
  <c r="BT19" i="4"/>
  <c r="BS19" i="4"/>
  <c r="BR19" i="4"/>
  <c r="BQ19" i="4"/>
  <c r="BP19" i="4"/>
  <c r="BI19" i="4"/>
  <c r="BH19" i="4"/>
  <c r="BG19" i="4"/>
  <c r="BF19" i="4"/>
  <c r="BE19" i="4"/>
  <c r="BD19" i="4"/>
  <c r="BC19" i="4"/>
  <c r="BB19" i="4"/>
  <c r="BA19" i="4"/>
  <c r="DR19" i="4" s="1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DM18" i="4"/>
  <c r="CX18" i="4"/>
  <c r="CU18" i="4"/>
  <c r="CT18" i="4"/>
  <c r="CO18" i="4"/>
  <c r="CJ18" i="4"/>
  <c r="CI18" i="4"/>
  <c r="CH18" i="4"/>
  <c r="CG18" i="4"/>
  <c r="CF18" i="4"/>
  <c r="CE18" i="4"/>
  <c r="CD18" i="4"/>
  <c r="CB18" i="4"/>
  <c r="CA18" i="4"/>
  <c r="BV18" i="4"/>
  <c r="BU18" i="4"/>
  <c r="BT18" i="4"/>
  <c r="BS18" i="4"/>
  <c r="BR18" i="4"/>
  <c r="BQ18" i="4"/>
  <c r="BP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DQ18" i="4" s="1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DN18" i="4" s="1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DM17" i="4"/>
  <c r="CX17" i="4"/>
  <c r="CU17" i="4"/>
  <c r="CT17" i="4"/>
  <c r="CO17" i="4"/>
  <c r="CJ17" i="4"/>
  <c r="CI17" i="4"/>
  <c r="CH17" i="4"/>
  <c r="CG17" i="4"/>
  <c r="CF17" i="4"/>
  <c r="CE17" i="4"/>
  <c r="CD17" i="4"/>
  <c r="CB17" i="4"/>
  <c r="CA17" i="4"/>
  <c r="BV17" i="4"/>
  <c r="BU17" i="4"/>
  <c r="BT17" i="4"/>
  <c r="BS17" i="4"/>
  <c r="BR17" i="4"/>
  <c r="BQ17" i="4"/>
  <c r="BP17" i="4"/>
  <c r="BI17" i="4"/>
  <c r="BH17" i="4"/>
  <c r="BG17" i="4"/>
  <c r="BF17" i="4"/>
  <c r="BE17" i="4"/>
  <c r="BD17" i="4"/>
  <c r="BC17" i="4"/>
  <c r="BB17" i="4"/>
  <c r="BA17" i="4"/>
  <c r="DR17" i="4" s="1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DO17" i="4" s="1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DM16" i="4"/>
  <c r="CX16" i="4"/>
  <c r="CU16" i="4"/>
  <c r="CT16" i="4"/>
  <c r="CO16" i="4"/>
  <c r="CJ16" i="4"/>
  <c r="CI16" i="4"/>
  <c r="CH16" i="4"/>
  <c r="CG16" i="4"/>
  <c r="CF16" i="4"/>
  <c r="CE16" i="4"/>
  <c r="CD16" i="4"/>
  <c r="CB16" i="4"/>
  <c r="CA16" i="4"/>
  <c r="BV16" i="4"/>
  <c r="BU16" i="4"/>
  <c r="BT16" i="4"/>
  <c r="BS16" i="4"/>
  <c r="BR16" i="4"/>
  <c r="BQ16" i="4"/>
  <c r="BP16" i="4"/>
  <c r="BI16" i="4"/>
  <c r="BH16" i="4"/>
  <c r="BG16" i="4"/>
  <c r="BF16" i="4"/>
  <c r="BE16" i="4"/>
  <c r="BD16" i="4"/>
  <c r="BC16" i="4"/>
  <c r="BB16" i="4"/>
  <c r="BA16" i="4"/>
  <c r="DR16" i="4" s="1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DO16" i="4" s="1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DM15" i="4"/>
  <c r="CX15" i="4"/>
  <c r="CU15" i="4"/>
  <c r="CT15" i="4"/>
  <c r="CO15" i="4"/>
  <c r="CJ15" i="4"/>
  <c r="CI15" i="4"/>
  <c r="CH15" i="4"/>
  <c r="CG15" i="4"/>
  <c r="CF15" i="4"/>
  <c r="CE15" i="4"/>
  <c r="CD15" i="4"/>
  <c r="CB15" i="4"/>
  <c r="CA15" i="4"/>
  <c r="BV15" i="4"/>
  <c r="BU15" i="4"/>
  <c r="BT15" i="4"/>
  <c r="BS15" i="4"/>
  <c r="BR15" i="4"/>
  <c r="BQ15" i="4"/>
  <c r="BP15" i="4"/>
  <c r="BI15" i="4"/>
  <c r="BH15" i="4"/>
  <c r="BG15" i="4"/>
  <c r="BF15" i="4"/>
  <c r="BE15" i="4"/>
  <c r="BD15" i="4"/>
  <c r="BC15" i="4"/>
  <c r="BB15" i="4"/>
  <c r="BA15" i="4"/>
  <c r="AZ15" i="4"/>
  <c r="AY15" i="4"/>
  <c r="DQ15" i="4" s="1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DM14" i="4"/>
  <c r="CX14" i="4"/>
  <c r="CU14" i="4"/>
  <c r="CT14" i="4"/>
  <c r="CO14" i="4"/>
  <c r="CJ14" i="4"/>
  <c r="CI14" i="4"/>
  <c r="CH14" i="4"/>
  <c r="CG14" i="4"/>
  <c r="CF14" i="4"/>
  <c r="CE14" i="4"/>
  <c r="CD14" i="4"/>
  <c r="CB14" i="4"/>
  <c r="CA14" i="4"/>
  <c r="BV14" i="4"/>
  <c r="BU14" i="4"/>
  <c r="BT14" i="4"/>
  <c r="BS14" i="4"/>
  <c r="BR14" i="4"/>
  <c r="BQ14" i="4"/>
  <c r="BP14" i="4"/>
  <c r="BI14" i="4"/>
  <c r="BH14" i="4"/>
  <c r="BG14" i="4"/>
  <c r="BF14" i="4"/>
  <c r="BE14" i="4"/>
  <c r="BD14" i="4"/>
  <c r="BC14" i="4"/>
  <c r="BB14" i="4"/>
  <c r="BA14" i="4"/>
  <c r="DR14" i="4" s="1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DM13" i="4"/>
  <c r="CX13" i="4"/>
  <c r="CU13" i="4"/>
  <c r="CT13" i="4"/>
  <c r="CO13" i="4"/>
  <c r="CJ13" i="4"/>
  <c r="CI13" i="4"/>
  <c r="CH13" i="4"/>
  <c r="CG13" i="4"/>
  <c r="CF13" i="4"/>
  <c r="CE13" i="4"/>
  <c r="CD13" i="4"/>
  <c r="CB13" i="4"/>
  <c r="CA13" i="4"/>
  <c r="BV13" i="4"/>
  <c r="BU13" i="4"/>
  <c r="BT13" i="4"/>
  <c r="BS13" i="4"/>
  <c r="BR13" i="4"/>
  <c r="BQ13" i="4"/>
  <c r="BP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DM12" i="4"/>
  <c r="CX12" i="4"/>
  <c r="CU12" i="4"/>
  <c r="CT12" i="4"/>
  <c r="CO12" i="4"/>
  <c r="CJ12" i="4"/>
  <c r="CI12" i="4"/>
  <c r="CH12" i="4"/>
  <c r="CG12" i="4"/>
  <c r="CF12" i="4"/>
  <c r="CE12" i="4"/>
  <c r="CD12" i="4"/>
  <c r="CB12" i="4"/>
  <c r="CA12" i="4"/>
  <c r="BV12" i="4"/>
  <c r="BU12" i="4"/>
  <c r="BT12" i="4"/>
  <c r="BS12" i="4"/>
  <c r="BR12" i="4"/>
  <c r="BQ12" i="4"/>
  <c r="BP12" i="4"/>
  <c r="BI12" i="4"/>
  <c r="BH12" i="4"/>
  <c r="BG12" i="4"/>
  <c r="BF12" i="4"/>
  <c r="BE12" i="4"/>
  <c r="BD12" i="4"/>
  <c r="BC12" i="4"/>
  <c r="BB12" i="4"/>
  <c r="BA12" i="4"/>
  <c r="AZ12" i="4"/>
  <c r="AY12" i="4"/>
  <c r="DQ12" i="4" s="1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DR11" i="4"/>
  <c r="DM11" i="4"/>
  <c r="CX11" i="4"/>
  <c r="CU11" i="4"/>
  <c r="CT11" i="4"/>
  <c r="CO11" i="4"/>
  <c r="CJ11" i="4"/>
  <c r="CI11" i="4"/>
  <c r="CH11" i="4"/>
  <c r="CG11" i="4"/>
  <c r="CF11" i="4"/>
  <c r="CE11" i="4"/>
  <c r="CD11" i="4"/>
  <c r="CB11" i="4"/>
  <c r="CA11" i="4"/>
  <c r="BV11" i="4"/>
  <c r="BU11" i="4"/>
  <c r="BT11" i="4"/>
  <c r="BS11" i="4"/>
  <c r="BR11" i="4"/>
  <c r="BQ11" i="4"/>
  <c r="BP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DM10" i="4"/>
  <c r="CX10" i="4"/>
  <c r="CU10" i="4"/>
  <c r="CT10" i="4"/>
  <c r="CO10" i="4"/>
  <c r="CJ10" i="4"/>
  <c r="CI10" i="4"/>
  <c r="CH10" i="4"/>
  <c r="CG10" i="4"/>
  <c r="CF10" i="4"/>
  <c r="CE10" i="4"/>
  <c r="CD10" i="4"/>
  <c r="CB10" i="4"/>
  <c r="CA10" i="4"/>
  <c r="BV10" i="4"/>
  <c r="BU10" i="4"/>
  <c r="BT10" i="4"/>
  <c r="BS10" i="4"/>
  <c r="BR10" i="4"/>
  <c r="BQ10" i="4"/>
  <c r="BP10" i="4"/>
  <c r="BI10" i="4"/>
  <c r="BH10" i="4"/>
  <c r="BG10" i="4"/>
  <c r="BF10" i="4"/>
  <c r="BE10" i="4"/>
  <c r="BD10" i="4"/>
  <c r="BC10" i="4"/>
  <c r="BB10" i="4"/>
  <c r="BA10" i="4"/>
  <c r="DR10" i="4" s="1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DM9" i="4"/>
  <c r="CX9" i="4"/>
  <c r="CU9" i="4"/>
  <c r="CT9" i="4"/>
  <c r="CO9" i="4"/>
  <c r="CJ9" i="4"/>
  <c r="CI9" i="4"/>
  <c r="CH9" i="4"/>
  <c r="CG9" i="4"/>
  <c r="CF9" i="4"/>
  <c r="CE9" i="4"/>
  <c r="CD9" i="4"/>
  <c r="CB9" i="4"/>
  <c r="CA9" i="4"/>
  <c r="BV9" i="4"/>
  <c r="BU9" i="4"/>
  <c r="BT9" i="4"/>
  <c r="BS9" i="4"/>
  <c r="BR9" i="4"/>
  <c r="BQ9" i="4"/>
  <c r="BP9" i="4"/>
  <c r="BI9" i="4"/>
  <c r="BH9" i="4"/>
  <c r="BG9" i="4"/>
  <c r="BF9" i="4"/>
  <c r="BE9" i="4"/>
  <c r="BD9" i="4"/>
  <c r="BC9" i="4"/>
  <c r="BB9" i="4"/>
  <c r="BA9" i="4"/>
  <c r="DR9" i="4" s="1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DO9" i="4" s="1"/>
  <c r="AA9" i="4"/>
  <c r="DN9" i="4" s="1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DM8" i="4"/>
  <c r="CX8" i="4"/>
  <c r="CU8" i="4"/>
  <c r="CT8" i="4"/>
  <c r="CO8" i="4"/>
  <c r="CJ8" i="4"/>
  <c r="CI8" i="4"/>
  <c r="CH8" i="4"/>
  <c r="CG8" i="4"/>
  <c r="CF8" i="4"/>
  <c r="CE8" i="4"/>
  <c r="CD8" i="4"/>
  <c r="CB8" i="4"/>
  <c r="CA8" i="4"/>
  <c r="BV8" i="4"/>
  <c r="BU8" i="4"/>
  <c r="BT8" i="4"/>
  <c r="BS8" i="4"/>
  <c r="BR8" i="4"/>
  <c r="BQ8" i="4"/>
  <c r="BP8" i="4"/>
  <c r="BI8" i="4"/>
  <c r="BH8" i="4"/>
  <c r="BG8" i="4"/>
  <c r="BF8" i="4"/>
  <c r="BE8" i="4"/>
  <c r="BD8" i="4"/>
  <c r="BC8" i="4"/>
  <c r="BB8" i="4"/>
  <c r="BA8" i="4"/>
  <c r="DR8" i="4" s="1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DM7" i="4"/>
  <c r="CX7" i="4"/>
  <c r="CU7" i="4"/>
  <c r="CT7" i="4"/>
  <c r="CO7" i="4"/>
  <c r="CJ7" i="4"/>
  <c r="CI7" i="4"/>
  <c r="CH7" i="4"/>
  <c r="CG7" i="4"/>
  <c r="CF7" i="4"/>
  <c r="CE7" i="4"/>
  <c r="CD7" i="4"/>
  <c r="CB7" i="4"/>
  <c r="CA7" i="4"/>
  <c r="BV7" i="4"/>
  <c r="BU7" i="4"/>
  <c r="BT7" i="4"/>
  <c r="BS7" i="4"/>
  <c r="BR7" i="4"/>
  <c r="BQ7" i="4"/>
  <c r="BP7" i="4"/>
  <c r="BI7" i="4"/>
  <c r="BH7" i="4"/>
  <c r="BG7" i="4"/>
  <c r="BF7" i="4"/>
  <c r="BE7" i="4"/>
  <c r="BD7" i="4"/>
  <c r="BC7" i="4"/>
  <c r="BB7" i="4"/>
  <c r="BA7" i="4"/>
  <c r="DR7" i="4" s="1"/>
  <c r="AZ7" i="4"/>
  <c r="AY7" i="4"/>
  <c r="DQ7" i="4" s="1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DO7" i="4" s="1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DM6" i="4"/>
  <c r="CX6" i="4"/>
  <c r="CU6" i="4"/>
  <c r="CT6" i="4"/>
  <c r="CO6" i="4"/>
  <c r="CJ6" i="4"/>
  <c r="CI6" i="4"/>
  <c r="CH6" i="4"/>
  <c r="CG6" i="4"/>
  <c r="CF6" i="4"/>
  <c r="CE6" i="4"/>
  <c r="CD6" i="4"/>
  <c r="CB6" i="4"/>
  <c r="CA6" i="4"/>
  <c r="BV6" i="4"/>
  <c r="BU6" i="4"/>
  <c r="BT6" i="4"/>
  <c r="BS6" i="4"/>
  <c r="BR6" i="4"/>
  <c r="BQ6" i="4"/>
  <c r="BP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DM5" i="4"/>
  <c r="CX5" i="4"/>
  <c r="CU5" i="4"/>
  <c r="CT5" i="4"/>
  <c r="CO5" i="4"/>
  <c r="CJ5" i="4"/>
  <c r="CI5" i="4"/>
  <c r="CH5" i="4"/>
  <c r="CG5" i="4"/>
  <c r="CF5" i="4"/>
  <c r="CE5" i="4"/>
  <c r="CD5" i="4"/>
  <c r="CB5" i="4"/>
  <c r="CA5" i="4"/>
  <c r="BV5" i="4"/>
  <c r="BU5" i="4"/>
  <c r="BT5" i="4"/>
  <c r="BS5" i="4"/>
  <c r="BR5" i="4"/>
  <c r="BQ5" i="4"/>
  <c r="BP5" i="4"/>
  <c r="BI5" i="4"/>
  <c r="BH5" i="4"/>
  <c r="BG5" i="4"/>
  <c r="BF5" i="4"/>
  <c r="BE5" i="4"/>
  <c r="BD5" i="4"/>
  <c r="BC5" i="4"/>
  <c r="BB5" i="4"/>
  <c r="BA5" i="4"/>
  <c r="DR5" i="4" s="1"/>
  <c r="AZ5" i="4"/>
  <c r="AY5" i="4"/>
  <c r="AX5" i="4"/>
  <c r="DQ5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DP5" i="4" s="1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DR4" i="4"/>
  <c r="DQ4" i="4"/>
  <c r="DM4" i="4"/>
  <c r="CX4" i="4"/>
  <c r="CU4" i="4"/>
  <c r="CT4" i="4"/>
  <c r="CO4" i="4"/>
  <c r="CJ4" i="4"/>
  <c r="CI4" i="4"/>
  <c r="CH4" i="4"/>
  <c r="CG4" i="4"/>
  <c r="CF4" i="4"/>
  <c r="CE4" i="4"/>
  <c r="CD4" i="4"/>
  <c r="CB4" i="4"/>
  <c r="CA4" i="4"/>
  <c r="BV4" i="4"/>
  <c r="BU4" i="4"/>
  <c r="BT4" i="4"/>
  <c r="BS4" i="4"/>
  <c r="BR4" i="4"/>
  <c r="BQ4" i="4"/>
  <c r="BP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DO4" i="4" s="1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DM3" i="4"/>
  <c r="DM120" i="4" s="1"/>
  <c r="CX3" i="4"/>
  <c r="CU3" i="4"/>
  <c r="CT3" i="4"/>
  <c r="CO3" i="4"/>
  <c r="CJ3" i="4"/>
  <c r="CI3" i="4"/>
  <c r="CH3" i="4"/>
  <c r="CG3" i="4"/>
  <c r="CF3" i="4"/>
  <c r="CE3" i="4"/>
  <c r="CD3" i="4"/>
  <c r="CB3" i="4"/>
  <c r="CA3" i="4"/>
  <c r="BV3" i="4"/>
  <c r="BU3" i="4"/>
  <c r="BT3" i="4"/>
  <c r="BS3" i="4"/>
  <c r="BR3" i="4"/>
  <c r="BQ3" i="4"/>
  <c r="BP3" i="4"/>
  <c r="BI3" i="4"/>
  <c r="BH3" i="4"/>
  <c r="BG3" i="4"/>
  <c r="BF3" i="4"/>
  <c r="BE3" i="4"/>
  <c r="BD3" i="4"/>
  <c r="BC3" i="4"/>
  <c r="BB3" i="4"/>
  <c r="BA3" i="4"/>
  <c r="DR3" i="4" s="1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EH130" i="3"/>
  <c r="AO130" i="3"/>
  <c r="AN129" i="3"/>
  <c r="EH128" i="3"/>
  <c r="EH129" i="3" s="1"/>
  <c r="AO126" i="3"/>
  <c r="AO127" i="3" s="1"/>
  <c r="AO128" i="3" s="1"/>
  <c r="AO129" i="3" s="1"/>
  <c r="AN126" i="3"/>
  <c r="AN127" i="3" s="1"/>
  <c r="AN128" i="3" s="1"/>
  <c r="EH125" i="3"/>
  <c r="EH126" i="3" s="1"/>
  <c r="EH127" i="3" s="1"/>
  <c r="CX122" i="3"/>
  <c r="CG122" i="3"/>
  <c r="CB122" i="3"/>
  <c r="BT122" i="3"/>
  <c r="BP122" i="3"/>
  <c r="BF122" i="3"/>
  <c r="BC122" i="3"/>
  <c r="BB122" i="3"/>
  <c r="AY122" i="3"/>
  <c r="AX122" i="3"/>
  <c r="AU122" i="3"/>
  <c r="AT122" i="3"/>
  <c r="AQ122" i="3"/>
  <c r="AP122" i="3"/>
  <c r="AI122" i="3"/>
  <c r="AH122" i="3"/>
  <c r="AA122" i="3"/>
  <c r="S122" i="3"/>
  <c r="R122" i="3"/>
  <c r="K122" i="3"/>
  <c r="J122" i="3"/>
  <c r="EP120" i="3"/>
  <c r="EN120" i="3"/>
  <c r="EH120" i="3"/>
  <c r="DL120" i="3"/>
  <c r="DK120" i="3"/>
  <c r="DJ120" i="3"/>
  <c r="EJ120" i="3" s="1"/>
  <c r="DI120" i="3"/>
  <c r="DH120" i="3"/>
  <c r="DG120" i="3"/>
  <c r="DF120" i="3"/>
  <c r="DE120" i="3"/>
  <c r="DD120" i="3"/>
  <c r="DC120" i="3"/>
  <c r="DB120" i="3"/>
  <c r="DB123" i="3" s="1"/>
  <c r="DA120" i="3"/>
  <c r="DA123" i="3" s="1"/>
  <c r="CZ120" i="3"/>
  <c r="CY120" i="3"/>
  <c r="CX120" i="3"/>
  <c r="CW120" i="3"/>
  <c r="CV120" i="3"/>
  <c r="CV122" i="3" s="1"/>
  <c r="CU120" i="3"/>
  <c r="CU122" i="3" s="1"/>
  <c r="CT120" i="3"/>
  <c r="CT122" i="3" s="1"/>
  <c r="CS120" i="3"/>
  <c r="CS123" i="3" s="1"/>
  <c r="CR120" i="3"/>
  <c r="CQ120" i="3"/>
  <c r="CP120" i="3"/>
  <c r="CO120" i="3"/>
  <c r="CO122" i="3" s="1"/>
  <c r="CN120" i="3"/>
  <c r="CM120" i="3"/>
  <c r="CL120" i="3"/>
  <c r="CK120" i="3"/>
  <c r="CH120" i="3"/>
  <c r="CH122" i="3" s="1"/>
  <c r="CG120" i="3"/>
  <c r="CF120" i="3"/>
  <c r="CF122" i="3" s="1"/>
  <c r="CE120" i="3"/>
  <c r="CE122" i="3" s="1"/>
  <c r="CD120" i="3"/>
  <c r="CD122" i="3" s="1"/>
  <c r="CC120" i="3"/>
  <c r="CB120" i="3"/>
  <c r="CA120" i="3"/>
  <c r="CA122" i="3" s="1"/>
  <c r="BZ120" i="3"/>
  <c r="BY120" i="3"/>
  <c r="BX120" i="3"/>
  <c r="BW120" i="3"/>
  <c r="BV120" i="3"/>
  <c r="BV122" i="3" s="1"/>
  <c r="BU120" i="3"/>
  <c r="BU122" i="3" s="1"/>
  <c r="BT120" i="3"/>
  <c r="BS120" i="3"/>
  <c r="BS122" i="3" s="1"/>
  <c r="BR120" i="3"/>
  <c r="BR122" i="3" s="1"/>
  <c r="BQ120" i="3"/>
  <c r="BQ122" i="3" s="1"/>
  <c r="BP120" i="3"/>
  <c r="BO120" i="3"/>
  <c r="BN120" i="3"/>
  <c r="BM120" i="3"/>
  <c r="BK120" i="3"/>
  <c r="BJ120" i="3"/>
  <c r="BI120" i="3"/>
  <c r="BI122" i="3" s="1"/>
  <c r="BF120" i="3"/>
  <c r="BE120" i="3"/>
  <c r="BE122" i="3" s="1"/>
  <c r="BD120" i="3"/>
  <c r="BD122" i="3" s="1"/>
  <c r="BC120" i="3"/>
  <c r="BB120" i="3"/>
  <c r="BA120" i="3"/>
  <c r="BA122" i="3" s="1"/>
  <c r="AZ120" i="3"/>
  <c r="AZ122" i="3" s="1"/>
  <c r="AY120" i="3"/>
  <c r="AX120" i="3"/>
  <c r="AU120" i="3"/>
  <c r="AT120" i="3"/>
  <c r="AS120" i="3"/>
  <c r="AS122" i="3" s="1"/>
  <c r="AR120" i="3"/>
  <c r="AR122" i="3" s="1"/>
  <c r="AQ120" i="3"/>
  <c r="AP120" i="3"/>
  <c r="AO120" i="3"/>
  <c r="AO122" i="3" s="1"/>
  <c r="AN120" i="3"/>
  <c r="AN122" i="3" s="1"/>
  <c r="AM120" i="3"/>
  <c r="AM122" i="3" s="1"/>
  <c r="AL120" i="3"/>
  <c r="AL122" i="3" s="1"/>
  <c r="AK120" i="3"/>
  <c r="AK122" i="3" s="1"/>
  <c r="AJ120" i="3"/>
  <c r="AJ122" i="3" s="1"/>
  <c r="AI120" i="3"/>
  <c r="AH120" i="3"/>
  <c r="AG120" i="3"/>
  <c r="AG122" i="3" s="1"/>
  <c r="AF120" i="3"/>
  <c r="AF122" i="3" s="1"/>
  <c r="AE120" i="3"/>
  <c r="AE122" i="3" s="1"/>
  <c r="AD120" i="3"/>
  <c r="AD122" i="3" s="1"/>
  <c r="AC120" i="3"/>
  <c r="AC122" i="3" s="1"/>
  <c r="AB120" i="3"/>
  <c r="AB122" i="3" s="1"/>
  <c r="AA120" i="3"/>
  <c r="X120" i="3"/>
  <c r="X122" i="3" s="1"/>
  <c r="W120" i="3"/>
  <c r="W122" i="3" s="1"/>
  <c r="V120" i="3"/>
  <c r="V122" i="3" s="1"/>
  <c r="U120" i="3"/>
  <c r="U122" i="3" s="1"/>
  <c r="T120" i="3"/>
  <c r="T122" i="3" s="1"/>
  <c r="S120" i="3"/>
  <c r="R120" i="3"/>
  <c r="Q120" i="3"/>
  <c r="Q122" i="3" s="1"/>
  <c r="O120" i="3"/>
  <c r="O122" i="3" s="1"/>
  <c r="N120" i="3"/>
  <c r="N122" i="3" s="1"/>
  <c r="M120" i="3"/>
  <c r="M122" i="3" s="1"/>
  <c r="L120" i="3"/>
  <c r="L122" i="3" s="1"/>
  <c r="K120" i="3"/>
  <c r="J120" i="3"/>
  <c r="I120" i="3"/>
  <c r="H120" i="3"/>
  <c r="H122" i="3" s="1"/>
  <c r="G120" i="3"/>
  <c r="G122" i="3" s="1"/>
  <c r="F120" i="3"/>
  <c r="E120" i="3"/>
  <c r="EY119" i="3"/>
  <c r="EX119" i="3"/>
  <c r="ES119" i="3"/>
  <c r="EQ119" i="3"/>
  <c r="EO119" i="3"/>
  <c r="EM119" i="3"/>
  <c r="EJ119" i="3"/>
  <c r="EI119" i="3"/>
  <c r="EK119" i="3" s="1"/>
  <c r="DZ119" i="3"/>
  <c r="DY119" i="3"/>
  <c r="DX119" i="3"/>
  <c r="DW119" i="3"/>
  <c r="DV119" i="3"/>
  <c r="DU119" i="3"/>
  <c r="DT119" i="3"/>
  <c r="DP119" i="3"/>
  <c r="DO119" i="3"/>
  <c r="EB119" i="3" s="1"/>
  <c r="DN119" i="3"/>
  <c r="DM119" i="3"/>
  <c r="EY118" i="3"/>
  <c r="EQ118" i="3"/>
  <c r="EO118" i="3"/>
  <c r="EM118" i="3"/>
  <c r="ES118" i="3" s="1"/>
  <c r="EJ118" i="3"/>
  <c r="EI118" i="3"/>
  <c r="EK118" i="3" s="1"/>
  <c r="DZ118" i="3"/>
  <c r="DY118" i="3"/>
  <c r="DX118" i="3"/>
  <c r="DW118" i="3"/>
  <c r="DV118" i="3"/>
  <c r="DU118" i="3"/>
  <c r="DT118" i="3"/>
  <c r="DO118" i="3"/>
  <c r="EB118" i="3" s="1"/>
  <c r="DN118" i="3"/>
  <c r="DM118" i="3"/>
  <c r="AV118" i="3"/>
  <c r="EY117" i="3"/>
  <c r="EQ117" i="3"/>
  <c r="EO117" i="3"/>
  <c r="EM117" i="3"/>
  <c r="ES117" i="3" s="1"/>
  <c r="EJ117" i="3"/>
  <c r="EI117" i="3"/>
  <c r="EK117" i="3" s="1"/>
  <c r="EB117" i="3"/>
  <c r="DZ117" i="3"/>
  <c r="DY117" i="3"/>
  <c r="DX117" i="3"/>
  <c r="DW117" i="3"/>
  <c r="DV117" i="3"/>
  <c r="DU117" i="3"/>
  <c r="DT117" i="3"/>
  <c r="DO117" i="3"/>
  <c r="DN117" i="3"/>
  <c r="DM117" i="3"/>
  <c r="AW117" i="3"/>
  <c r="AV117" i="3"/>
  <c r="EY116" i="3"/>
  <c r="EQ116" i="3"/>
  <c r="EO116" i="3"/>
  <c r="EM116" i="3"/>
  <c r="ES116" i="3" s="1"/>
  <c r="EK116" i="3"/>
  <c r="EJ116" i="3"/>
  <c r="EI116" i="3"/>
  <c r="EC116" i="3"/>
  <c r="DZ116" i="3"/>
  <c r="DY116" i="3"/>
  <c r="DX116" i="3"/>
  <c r="DW116" i="3"/>
  <c r="DV116" i="3"/>
  <c r="DU116" i="3"/>
  <c r="DT116" i="3"/>
  <c r="DP116" i="3"/>
  <c r="DN116" i="3"/>
  <c r="DM116" i="3"/>
  <c r="BG116" i="3"/>
  <c r="EY115" i="3"/>
  <c r="ES115" i="3"/>
  <c r="EQ115" i="3"/>
  <c r="EO115" i="3"/>
  <c r="EM115" i="3"/>
  <c r="EK115" i="3"/>
  <c r="EJ115" i="3"/>
  <c r="EI115" i="3"/>
  <c r="DZ115" i="3"/>
  <c r="DY115" i="3"/>
  <c r="DX115" i="3"/>
  <c r="DW115" i="3"/>
  <c r="DV115" i="3"/>
  <c r="DU115" i="3"/>
  <c r="DT115" i="3"/>
  <c r="DP115" i="3"/>
  <c r="EC115" i="3" s="1"/>
  <c r="DN115" i="3"/>
  <c r="DQ115" i="3" s="1"/>
  <c r="DR115" i="3" s="1"/>
  <c r="DM115" i="3"/>
  <c r="BG115" i="3"/>
  <c r="DO115" i="3" s="1"/>
  <c r="EB115" i="3" s="1"/>
  <c r="Y115" i="3"/>
  <c r="EX115" i="3" s="1"/>
  <c r="EY114" i="3"/>
  <c r="ES114" i="3"/>
  <c r="EQ114" i="3"/>
  <c r="EO114" i="3"/>
  <c r="EM114" i="3"/>
  <c r="EK114" i="3"/>
  <c r="EJ114" i="3"/>
  <c r="EI114" i="3"/>
  <c r="DZ114" i="3"/>
  <c r="DY114" i="3"/>
  <c r="DX114" i="3"/>
  <c r="DW114" i="3"/>
  <c r="DV114" i="3"/>
  <c r="DU114" i="3"/>
  <c r="DT114" i="3"/>
  <c r="DP114" i="3"/>
  <c r="EC114" i="3" s="1"/>
  <c r="DN114" i="3"/>
  <c r="DQ114" i="3" s="1"/>
  <c r="DR114" i="3" s="1"/>
  <c r="DM114" i="3"/>
  <c r="BG114" i="3"/>
  <c r="EX114" i="3" s="1"/>
  <c r="EY113" i="3"/>
  <c r="EX113" i="3"/>
  <c r="EQ113" i="3"/>
  <c r="EO113" i="3"/>
  <c r="EM113" i="3"/>
  <c r="ES113" i="3" s="1"/>
  <c r="EJ113" i="3"/>
  <c r="EI113" i="3"/>
  <c r="EK113" i="3" s="1"/>
  <c r="EC113" i="3"/>
  <c r="DZ113" i="3"/>
  <c r="DY113" i="3"/>
  <c r="DX113" i="3"/>
  <c r="DW113" i="3"/>
  <c r="DV113" i="3"/>
  <c r="DU113" i="3"/>
  <c r="DT113" i="3"/>
  <c r="DP113" i="3"/>
  <c r="DO113" i="3"/>
  <c r="EB113" i="3" s="1"/>
  <c r="DN113" i="3"/>
  <c r="DQ113" i="3" s="1"/>
  <c r="EA113" i="3" s="1"/>
  <c r="DM113" i="3"/>
  <c r="EY112" i="3"/>
  <c r="EX112" i="3"/>
  <c r="ES112" i="3"/>
  <c r="EQ112" i="3"/>
  <c r="EO112" i="3"/>
  <c r="EM112" i="3"/>
  <c r="EK112" i="3"/>
  <c r="EJ112" i="3"/>
  <c r="EI112" i="3"/>
  <c r="EC112" i="3"/>
  <c r="DZ112" i="3"/>
  <c r="DY112" i="3"/>
  <c r="DX112" i="3"/>
  <c r="DW112" i="3"/>
  <c r="DV112" i="3"/>
  <c r="DU112" i="3"/>
  <c r="DT112" i="3"/>
  <c r="DP112" i="3"/>
  <c r="DO112" i="3"/>
  <c r="EB112" i="3" s="1"/>
  <c r="DN112" i="3"/>
  <c r="DQ112" i="3" s="1"/>
  <c r="EA112" i="3" s="1"/>
  <c r="DM112" i="3"/>
  <c r="EY111" i="3"/>
  <c r="EQ111" i="3"/>
  <c r="EO111" i="3"/>
  <c r="EM111" i="3"/>
  <c r="ES111" i="3" s="1"/>
  <c r="EK111" i="3"/>
  <c r="EJ111" i="3"/>
  <c r="EI111" i="3"/>
  <c r="EC111" i="3"/>
  <c r="DZ111" i="3"/>
  <c r="DY111" i="3"/>
  <c r="DX111" i="3"/>
  <c r="DW111" i="3"/>
  <c r="DV111" i="3"/>
  <c r="DU111" i="3"/>
  <c r="DT111" i="3"/>
  <c r="DP111" i="3"/>
  <c r="DN111" i="3"/>
  <c r="DQ111" i="3" s="1"/>
  <c r="EA111" i="3" s="1"/>
  <c r="DM111" i="3"/>
  <c r="BG111" i="3"/>
  <c r="EX111" i="3" s="1"/>
  <c r="EY110" i="3"/>
  <c r="EX110" i="3"/>
  <c r="EQ110" i="3"/>
  <c r="EO110" i="3"/>
  <c r="EM110" i="3"/>
  <c r="ES110" i="3" s="1"/>
  <c r="EJ110" i="3"/>
  <c r="EI110" i="3"/>
  <c r="EK110" i="3" s="1"/>
  <c r="EC110" i="3"/>
  <c r="DZ110" i="3"/>
  <c r="DY110" i="3"/>
  <c r="DX110" i="3"/>
  <c r="DW110" i="3"/>
  <c r="DV110" i="3"/>
  <c r="DU110" i="3"/>
  <c r="DT110" i="3"/>
  <c r="DP110" i="3"/>
  <c r="DO110" i="3"/>
  <c r="EB110" i="3" s="1"/>
  <c r="DN110" i="3"/>
  <c r="DQ110" i="3" s="1"/>
  <c r="EA110" i="3" s="1"/>
  <c r="DM110" i="3"/>
  <c r="EY109" i="3"/>
  <c r="EX109" i="3"/>
  <c r="ES109" i="3"/>
  <c r="EQ109" i="3"/>
  <c r="EO109" i="3"/>
  <c r="EM109" i="3"/>
  <c r="EK109" i="3"/>
  <c r="EJ109" i="3"/>
  <c r="EI109" i="3"/>
  <c r="DZ109" i="3"/>
  <c r="DY109" i="3"/>
  <c r="DX109" i="3"/>
  <c r="DW109" i="3"/>
  <c r="DV109" i="3"/>
  <c r="DU109" i="3"/>
  <c r="DT109" i="3"/>
  <c r="DP109" i="3"/>
  <c r="DN109" i="3"/>
  <c r="DM109" i="3"/>
  <c r="BG109" i="3"/>
  <c r="DO109" i="3" s="1"/>
  <c r="EB109" i="3" s="1"/>
  <c r="EY108" i="3"/>
  <c r="ES108" i="3"/>
  <c r="EQ108" i="3"/>
  <c r="EO108" i="3"/>
  <c r="EM108" i="3"/>
  <c r="EJ108" i="3"/>
  <c r="EI108" i="3"/>
  <c r="EK108" i="3" s="1"/>
  <c r="DZ108" i="3"/>
  <c r="DY108" i="3"/>
  <c r="DX108" i="3"/>
  <c r="DW108" i="3"/>
  <c r="DV108" i="3"/>
  <c r="DU108" i="3"/>
  <c r="DT108" i="3"/>
  <c r="DP108" i="3"/>
  <c r="EC108" i="3" s="1"/>
  <c r="DO108" i="3"/>
  <c r="EB108" i="3" s="1"/>
  <c r="DN108" i="3"/>
  <c r="DM108" i="3"/>
  <c r="BG108" i="3"/>
  <c r="EX108" i="3" s="1"/>
  <c r="EY107" i="3"/>
  <c r="EX107" i="3"/>
  <c r="ES107" i="3"/>
  <c r="EQ107" i="3"/>
  <c r="EO107" i="3"/>
  <c r="EM107" i="3"/>
  <c r="EK107" i="3"/>
  <c r="EJ107" i="3"/>
  <c r="EI107" i="3"/>
  <c r="DZ107" i="3"/>
  <c r="DY107" i="3"/>
  <c r="DX107" i="3"/>
  <c r="DW107" i="3"/>
  <c r="DV107" i="3"/>
  <c r="DU107" i="3"/>
  <c r="DT107" i="3"/>
  <c r="DP107" i="3"/>
  <c r="EC107" i="3" s="1"/>
  <c r="DO107" i="3"/>
  <c r="EB107" i="3" s="1"/>
  <c r="DN107" i="3"/>
  <c r="DQ107" i="3" s="1"/>
  <c r="DM107" i="3"/>
  <c r="EY106" i="3"/>
  <c r="EQ106" i="3"/>
  <c r="EO106" i="3"/>
  <c r="EM106" i="3"/>
  <c r="ES106" i="3" s="1"/>
  <c r="EK106" i="3"/>
  <c r="EJ106" i="3"/>
  <c r="EI106" i="3"/>
  <c r="EC106" i="3"/>
  <c r="DZ106" i="3"/>
  <c r="DY106" i="3"/>
  <c r="DX106" i="3"/>
  <c r="DW106" i="3"/>
  <c r="DV106" i="3"/>
  <c r="DU106" i="3"/>
  <c r="DT106" i="3"/>
  <c r="DP106" i="3"/>
  <c r="DN106" i="3"/>
  <c r="DM106" i="3"/>
  <c r="BG106" i="3"/>
  <c r="EY105" i="3"/>
  <c r="ES105" i="3"/>
  <c r="EQ105" i="3"/>
  <c r="EO105" i="3"/>
  <c r="EM105" i="3"/>
  <c r="EK105" i="3"/>
  <c r="EJ105" i="3"/>
  <c r="EI105" i="3"/>
  <c r="DZ105" i="3"/>
  <c r="DY105" i="3"/>
  <c r="DX105" i="3"/>
  <c r="DW105" i="3"/>
  <c r="DV105" i="3"/>
  <c r="DU105" i="3"/>
  <c r="DT105" i="3"/>
  <c r="DP105" i="3"/>
  <c r="EC105" i="3" s="1"/>
  <c r="DN105" i="3"/>
  <c r="DQ105" i="3" s="1"/>
  <c r="DR105" i="3" s="1"/>
  <c r="DM105" i="3"/>
  <c r="BG105" i="3"/>
  <c r="EX105" i="3" s="1"/>
  <c r="EY104" i="3"/>
  <c r="EQ104" i="3"/>
  <c r="EO104" i="3"/>
  <c r="EM104" i="3"/>
  <c r="ES104" i="3" s="1"/>
  <c r="EJ104" i="3"/>
  <c r="EI104" i="3"/>
  <c r="EK104" i="3" s="1"/>
  <c r="EC104" i="3"/>
  <c r="DZ104" i="3"/>
  <c r="DY104" i="3"/>
  <c r="DX104" i="3"/>
  <c r="DW104" i="3"/>
  <c r="DV104" i="3"/>
  <c r="DU104" i="3"/>
  <c r="DT104" i="3"/>
  <c r="DP104" i="3"/>
  <c r="DO104" i="3"/>
  <c r="EB104" i="3" s="1"/>
  <c r="DN104" i="3"/>
  <c r="DQ104" i="3" s="1"/>
  <c r="EA104" i="3" s="1"/>
  <c r="DM104" i="3"/>
  <c r="BG104" i="3"/>
  <c r="EX104" i="3" s="1"/>
  <c r="EY103" i="3"/>
  <c r="EX103" i="3"/>
  <c r="EQ103" i="3"/>
  <c r="EO103" i="3"/>
  <c r="EM103" i="3"/>
  <c r="ES103" i="3" s="1"/>
  <c r="EK103" i="3"/>
  <c r="EJ103" i="3"/>
  <c r="EI103" i="3"/>
  <c r="EC103" i="3"/>
  <c r="DZ103" i="3"/>
  <c r="DY103" i="3"/>
  <c r="DX103" i="3"/>
  <c r="DW103" i="3"/>
  <c r="DV103" i="3"/>
  <c r="DU103" i="3"/>
  <c r="DT103" i="3"/>
  <c r="DP103" i="3"/>
  <c r="DN103" i="3"/>
  <c r="DQ103" i="3" s="1"/>
  <c r="DM103" i="3"/>
  <c r="BG103" i="3"/>
  <c r="DO103" i="3" s="1"/>
  <c r="EB103" i="3" s="1"/>
  <c r="EY102" i="3"/>
  <c r="EX102" i="3"/>
  <c r="ES102" i="3"/>
  <c r="EQ102" i="3"/>
  <c r="EO102" i="3"/>
  <c r="EM102" i="3"/>
  <c r="EK102" i="3"/>
  <c r="EJ102" i="3"/>
  <c r="EI102" i="3"/>
  <c r="EB102" i="3"/>
  <c r="DZ102" i="3"/>
  <c r="DY102" i="3"/>
  <c r="DX102" i="3"/>
  <c r="DW102" i="3"/>
  <c r="DV102" i="3"/>
  <c r="DU102" i="3"/>
  <c r="DT102" i="3"/>
  <c r="DP102" i="3"/>
  <c r="DO102" i="3"/>
  <c r="DN102" i="3"/>
  <c r="DM102" i="3"/>
  <c r="EY101" i="3"/>
  <c r="EX101" i="3"/>
  <c r="EQ101" i="3"/>
  <c r="EO101" i="3"/>
  <c r="EM101" i="3"/>
  <c r="ES101" i="3" s="1"/>
  <c r="EK101" i="3"/>
  <c r="EJ101" i="3"/>
  <c r="EI101" i="3"/>
  <c r="DZ101" i="3"/>
  <c r="DY101" i="3"/>
  <c r="DX101" i="3"/>
  <c r="DW101" i="3"/>
  <c r="DV101" i="3"/>
  <c r="DU101" i="3"/>
  <c r="DT101" i="3"/>
  <c r="DQ101" i="3"/>
  <c r="DP101" i="3"/>
  <c r="EC101" i="3" s="1"/>
  <c r="DO101" i="3"/>
  <c r="EB101" i="3" s="1"/>
  <c r="DN101" i="3"/>
  <c r="DM101" i="3"/>
  <c r="EY100" i="3"/>
  <c r="EQ100" i="3"/>
  <c r="EO100" i="3"/>
  <c r="EM100" i="3"/>
  <c r="ES100" i="3" s="1"/>
  <c r="EK100" i="3"/>
  <c r="EJ100" i="3"/>
  <c r="EI100" i="3"/>
  <c r="EC100" i="3"/>
  <c r="DZ100" i="3"/>
  <c r="DY100" i="3"/>
  <c r="DX100" i="3"/>
  <c r="DW100" i="3"/>
  <c r="DV100" i="3"/>
  <c r="DU100" i="3"/>
  <c r="DT100" i="3"/>
  <c r="DP100" i="3"/>
  <c r="DN100" i="3"/>
  <c r="DM100" i="3"/>
  <c r="BG100" i="3"/>
  <c r="DO100" i="3" s="1"/>
  <c r="EB100" i="3" s="1"/>
  <c r="Z100" i="3"/>
  <c r="Y100" i="3"/>
  <c r="EY99" i="3"/>
  <c r="EX99" i="3"/>
  <c r="EQ99" i="3"/>
  <c r="EO99" i="3"/>
  <c r="EM99" i="3"/>
  <c r="ES99" i="3" s="1"/>
  <c r="EJ99" i="3"/>
  <c r="EI99" i="3"/>
  <c r="EK99" i="3" s="1"/>
  <c r="DZ99" i="3"/>
  <c r="DY99" i="3"/>
  <c r="DX99" i="3"/>
  <c r="DW99" i="3"/>
  <c r="DV99" i="3"/>
  <c r="DU99" i="3"/>
  <c r="DT99" i="3"/>
  <c r="DP99" i="3"/>
  <c r="EC99" i="3" s="1"/>
  <c r="DO99" i="3"/>
  <c r="EB99" i="3" s="1"/>
  <c r="DN99" i="3"/>
  <c r="DM99" i="3"/>
  <c r="EY98" i="3"/>
  <c r="ES98" i="3"/>
  <c r="EQ98" i="3"/>
  <c r="EO98" i="3"/>
  <c r="EM98" i="3"/>
  <c r="EK98" i="3"/>
  <c r="EJ98" i="3"/>
  <c r="EI98" i="3"/>
  <c r="EA98" i="3"/>
  <c r="DZ98" i="3"/>
  <c r="DY98" i="3"/>
  <c r="DX98" i="3"/>
  <c r="DW98" i="3"/>
  <c r="DV98" i="3"/>
  <c r="DU98" i="3"/>
  <c r="DT98" i="3"/>
  <c r="DS98" i="3"/>
  <c r="DP98" i="3"/>
  <c r="EC98" i="3" s="1"/>
  <c r="DN98" i="3"/>
  <c r="DQ98" i="3" s="1"/>
  <c r="DR98" i="3" s="1"/>
  <c r="DM98" i="3"/>
  <c r="BG98" i="3"/>
  <c r="EX98" i="3" s="1"/>
  <c r="EY97" i="3"/>
  <c r="EX97" i="3"/>
  <c r="EQ97" i="3"/>
  <c r="EO97" i="3"/>
  <c r="EM97" i="3"/>
  <c r="ES97" i="3" s="1"/>
  <c r="EJ97" i="3"/>
  <c r="EI97" i="3"/>
  <c r="EK97" i="3" s="1"/>
  <c r="EC97" i="3"/>
  <c r="DZ97" i="3"/>
  <c r="DY97" i="3"/>
  <c r="DX97" i="3"/>
  <c r="DW97" i="3"/>
  <c r="DV97" i="3"/>
  <c r="DU97" i="3"/>
  <c r="DT97" i="3"/>
  <c r="DP97" i="3"/>
  <c r="DO97" i="3"/>
  <c r="EB97" i="3" s="1"/>
  <c r="DN97" i="3"/>
  <c r="DQ97" i="3" s="1"/>
  <c r="DM97" i="3"/>
  <c r="EY96" i="3"/>
  <c r="ES96" i="3"/>
  <c r="EQ96" i="3"/>
  <c r="EO96" i="3"/>
  <c r="EM96" i="3"/>
  <c r="EK96" i="3"/>
  <c r="EJ96" i="3"/>
  <c r="EI96" i="3"/>
  <c r="EB96" i="3"/>
  <c r="DZ96" i="3"/>
  <c r="DY96" i="3"/>
  <c r="DX96" i="3"/>
  <c r="DW96" i="3"/>
  <c r="DV96" i="3"/>
  <c r="DU96" i="3"/>
  <c r="DT96" i="3"/>
  <c r="DP96" i="3"/>
  <c r="DO96" i="3"/>
  <c r="DN96" i="3"/>
  <c r="DM96" i="3"/>
  <c r="Z96" i="3"/>
  <c r="Y96" i="3"/>
  <c r="EX96" i="3" s="1"/>
  <c r="EY95" i="3"/>
  <c r="ES95" i="3"/>
  <c r="EQ95" i="3"/>
  <c r="EO95" i="3"/>
  <c r="EM95" i="3"/>
  <c r="EK95" i="3"/>
  <c r="EJ95" i="3"/>
  <c r="EI95" i="3"/>
  <c r="DZ95" i="3"/>
  <c r="DY95" i="3"/>
  <c r="DX95" i="3"/>
  <c r="DW95" i="3"/>
  <c r="DV95" i="3"/>
  <c r="DU95" i="3"/>
  <c r="DT95" i="3"/>
  <c r="DP95" i="3"/>
  <c r="DN95" i="3"/>
  <c r="DM95" i="3"/>
  <c r="BG95" i="3"/>
  <c r="DO95" i="3" s="1"/>
  <c r="EB95" i="3" s="1"/>
  <c r="Z95" i="3"/>
  <c r="Y95" i="3" s="1"/>
  <c r="EX95" i="3" s="1"/>
  <c r="EY94" i="3"/>
  <c r="EX94" i="3"/>
  <c r="EQ94" i="3"/>
  <c r="EO94" i="3"/>
  <c r="EM94" i="3"/>
  <c r="ES94" i="3" s="1"/>
  <c r="EK94" i="3"/>
  <c r="EJ94" i="3"/>
  <c r="EI94" i="3"/>
  <c r="EC94" i="3"/>
  <c r="EB94" i="3"/>
  <c r="DZ94" i="3"/>
  <c r="DY94" i="3"/>
  <c r="DX94" i="3"/>
  <c r="DW94" i="3"/>
  <c r="DV94" i="3"/>
  <c r="DU94" i="3"/>
  <c r="DT94" i="3"/>
  <c r="DP94" i="3"/>
  <c r="DO94" i="3"/>
  <c r="DN94" i="3"/>
  <c r="DQ94" i="3" s="1"/>
  <c r="DM94" i="3"/>
  <c r="EY93" i="3"/>
  <c r="EX93" i="3"/>
  <c r="ES93" i="3"/>
  <c r="EQ93" i="3"/>
  <c r="EO93" i="3"/>
  <c r="EM93" i="3"/>
  <c r="EJ93" i="3"/>
  <c r="EI93" i="3"/>
  <c r="EK93" i="3" s="1"/>
  <c r="DZ93" i="3"/>
  <c r="DY93" i="3"/>
  <c r="DX93" i="3"/>
  <c r="DW93" i="3"/>
  <c r="DV93" i="3"/>
  <c r="DU93" i="3"/>
  <c r="DT93" i="3"/>
  <c r="DP93" i="3"/>
  <c r="EC93" i="3" s="1"/>
  <c r="DO93" i="3"/>
  <c r="EB93" i="3" s="1"/>
  <c r="DN93" i="3"/>
  <c r="DQ93" i="3" s="1"/>
  <c r="EA93" i="3" s="1"/>
  <c r="EE93" i="3" s="1"/>
  <c r="DM93" i="3"/>
  <c r="EY92" i="3"/>
  <c r="EX92" i="3"/>
  <c r="ES92" i="3"/>
  <c r="EQ92" i="3"/>
  <c r="EO92" i="3"/>
  <c r="EM92" i="3"/>
  <c r="EJ92" i="3"/>
  <c r="EI92" i="3"/>
  <c r="EK92" i="3" s="1"/>
  <c r="DZ92" i="3"/>
  <c r="DY92" i="3"/>
  <c r="DX92" i="3"/>
  <c r="DW92" i="3"/>
  <c r="DV92" i="3"/>
  <c r="DU92" i="3"/>
  <c r="DT92" i="3"/>
  <c r="DP92" i="3"/>
  <c r="EC92" i="3" s="1"/>
  <c r="DO92" i="3"/>
  <c r="EB92" i="3" s="1"/>
  <c r="DN92" i="3"/>
  <c r="DM92" i="3"/>
  <c r="EY91" i="3"/>
  <c r="ES91" i="3"/>
  <c r="EQ91" i="3"/>
  <c r="EO91" i="3"/>
  <c r="EM91" i="3"/>
  <c r="EK91" i="3"/>
  <c r="EJ91" i="3"/>
  <c r="EI91" i="3"/>
  <c r="DZ91" i="3"/>
  <c r="DY91" i="3"/>
  <c r="DX91" i="3"/>
  <c r="DW91" i="3"/>
  <c r="DV91" i="3"/>
  <c r="DU91" i="3"/>
  <c r="DT91" i="3"/>
  <c r="DP91" i="3"/>
  <c r="EC91" i="3" s="1"/>
  <c r="DN91" i="3"/>
  <c r="DQ91" i="3" s="1"/>
  <c r="DM91" i="3"/>
  <c r="BG91" i="3"/>
  <c r="EY90" i="3"/>
  <c r="EQ90" i="3"/>
  <c r="EO90" i="3"/>
  <c r="EM90" i="3"/>
  <c r="ES90" i="3" s="1"/>
  <c r="EJ90" i="3"/>
  <c r="EI90" i="3"/>
  <c r="EK90" i="3" s="1"/>
  <c r="EB90" i="3"/>
  <c r="DZ90" i="3"/>
  <c r="DY90" i="3"/>
  <c r="DX90" i="3"/>
  <c r="DW90" i="3"/>
  <c r="DV90" i="3"/>
  <c r="DU90" i="3"/>
  <c r="DT90" i="3"/>
  <c r="DO90" i="3"/>
  <c r="DN90" i="3"/>
  <c r="DM90" i="3"/>
  <c r="Z90" i="3"/>
  <c r="EY89" i="3"/>
  <c r="EX89" i="3"/>
  <c r="EQ89" i="3"/>
  <c r="EO89" i="3"/>
  <c r="EM89" i="3"/>
  <c r="ES89" i="3" s="1"/>
  <c r="EK89" i="3"/>
  <c r="EJ89" i="3"/>
  <c r="EI89" i="3"/>
  <c r="DZ89" i="3"/>
  <c r="DY89" i="3"/>
  <c r="DX89" i="3"/>
  <c r="DW89" i="3"/>
  <c r="DV89" i="3"/>
  <c r="DU89" i="3"/>
  <c r="DT89" i="3"/>
  <c r="DP89" i="3"/>
  <c r="EC89" i="3" s="1"/>
  <c r="DO89" i="3"/>
  <c r="EB89" i="3" s="1"/>
  <c r="DN89" i="3"/>
  <c r="DM89" i="3"/>
  <c r="EY88" i="3"/>
  <c r="EQ88" i="3"/>
  <c r="EO88" i="3"/>
  <c r="EM88" i="3"/>
  <c r="ES88" i="3" s="1"/>
  <c r="EJ88" i="3"/>
  <c r="EI88" i="3"/>
  <c r="EK88" i="3" s="1"/>
  <c r="EB88" i="3"/>
  <c r="DZ88" i="3"/>
  <c r="DY88" i="3"/>
  <c r="DX88" i="3"/>
  <c r="DW88" i="3"/>
  <c r="DV88" i="3"/>
  <c r="DU88" i="3"/>
  <c r="DT88" i="3"/>
  <c r="DO88" i="3"/>
  <c r="DN88" i="3"/>
  <c r="DM88" i="3"/>
  <c r="AV88" i="3"/>
  <c r="EY87" i="3"/>
  <c r="ES87" i="3"/>
  <c r="EQ87" i="3"/>
  <c r="EO87" i="3"/>
  <c r="EM87" i="3"/>
  <c r="EJ87" i="3"/>
  <c r="EI87" i="3"/>
  <c r="EK87" i="3" s="1"/>
  <c r="EB87" i="3"/>
  <c r="DZ87" i="3"/>
  <c r="DY87" i="3"/>
  <c r="DX87" i="3"/>
  <c r="DW87" i="3"/>
  <c r="DV87" i="3"/>
  <c r="DU87" i="3"/>
  <c r="DT87" i="3"/>
  <c r="DO87" i="3"/>
  <c r="DN87" i="3"/>
  <c r="DM87" i="3"/>
  <c r="AW87" i="3"/>
  <c r="AV87" i="3"/>
  <c r="EY86" i="3"/>
  <c r="EQ86" i="3"/>
  <c r="EO86" i="3"/>
  <c r="EM86" i="3"/>
  <c r="ES86" i="3" s="1"/>
  <c r="EK86" i="3"/>
  <c r="EJ86" i="3"/>
  <c r="EI86" i="3"/>
  <c r="EC86" i="3"/>
  <c r="DZ86" i="3"/>
  <c r="DY86" i="3"/>
  <c r="DX86" i="3"/>
  <c r="DW86" i="3"/>
  <c r="DV86" i="3"/>
  <c r="DU86" i="3"/>
  <c r="DT86" i="3"/>
  <c r="DP86" i="3"/>
  <c r="DO86" i="3"/>
  <c r="EB86" i="3" s="1"/>
  <c r="DN86" i="3"/>
  <c r="DQ86" i="3" s="1"/>
  <c r="EA86" i="3" s="1"/>
  <c r="EE86" i="3" s="1"/>
  <c r="DM86" i="3"/>
  <c r="BH86" i="3"/>
  <c r="EX86" i="3" s="1"/>
  <c r="BG86" i="3"/>
  <c r="EY85" i="3"/>
  <c r="EX85" i="3"/>
  <c r="EQ85" i="3"/>
  <c r="EO85" i="3"/>
  <c r="EM85" i="3"/>
  <c r="ES85" i="3" s="1"/>
  <c r="EJ85" i="3"/>
  <c r="EI85" i="3"/>
  <c r="EK85" i="3" s="1"/>
  <c r="DZ85" i="3"/>
  <c r="DY85" i="3"/>
  <c r="DX85" i="3"/>
  <c r="DW85" i="3"/>
  <c r="DV85" i="3"/>
  <c r="DU85" i="3"/>
  <c r="DT85" i="3"/>
  <c r="DP85" i="3"/>
  <c r="DN85" i="3"/>
  <c r="DM85" i="3"/>
  <c r="BG85" i="3"/>
  <c r="DO85" i="3" s="1"/>
  <c r="EB85" i="3" s="1"/>
  <c r="Z85" i="3"/>
  <c r="Y85" i="3"/>
  <c r="EY84" i="3"/>
  <c r="EX84" i="3"/>
  <c r="EQ84" i="3"/>
  <c r="EO84" i="3"/>
  <c r="EM84" i="3"/>
  <c r="ES84" i="3" s="1"/>
  <c r="EJ84" i="3"/>
  <c r="EI84" i="3"/>
  <c r="EK84" i="3" s="1"/>
  <c r="EC84" i="3"/>
  <c r="DZ84" i="3"/>
  <c r="DY84" i="3"/>
  <c r="DX84" i="3"/>
  <c r="DW84" i="3"/>
  <c r="DV84" i="3"/>
  <c r="DU84" i="3"/>
  <c r="DT84" i="3"/>
  <c r="DP84" i="3"/>
  <c r="DN84" i="3"/>
  <c r="DM84" i="3"/>
  <c r="BG84" i="3"/>
  <c r="DO84" i="3" s="1"/>
  <c r="EB84" i="3" s="1"/>
  <c r="EY83" i="3"/>
  <c r="ES83" i="3"/>
  <c r="EQ83" i="3"/>
  <c r="EO83" i="3"/>
  <c r="EM83" i="3"/>
  <c r="EK83" i="3"/>
  <c r="EJ83" i="3"/>
  <c r="EI83" i="3"/>
  <c r="DZ83" i="3"/>
  <c r="DY83" i="3"/>
  <c r="DX83" i="3"/>
  <c r="DW83" i="3"/>
  <c r="DV83" i="3"/>
  <c r="DU83" i="3"/>
  <c r="DT83" i="3"/>
  <c r="DQ83" i="3"/>
  <c r="DP83" i="3"/>
  <c r="EC83" i="3" s="1"/>
  <c r="DO83" i="3"/>
  <c r="EB83" i="3" s="1"/>
  <c r="DN83" i="3"/>
  <c r="DM83" i="3"/>
  <c r="BG83" i="3"/>
  <c r="EX83" i="3" s="1"/>
  <c r="EY82" i="3"/>
  <c r="ES82" i="3"/>
  <c r="EQ82" i="3"/>
  <c r="EO82" i="3"/>
  <c r="EM82" i="3"/>
  <c r="EK82" i="3"/>
  <c r="EJ82" i="3"/>
  <c r="EI82" i="3"/>
  <c r="DZ82" i="3"/>
  <c r="DY82" i="3"/>
  <c r="DX82" i="3"/>
  <c r="DW82" i="3"/>
  <c r="DV82" i="3"/>
  <c r="DU82" i="3"/>
  <c r="DT82" i="3"/>
  <c r="DP82" i="3"/>
  <c r="EC82" i="3" s="1"/>
  <c r="DN82" i="3"/>
  <c r="DQ82" i="3" s="1"/>
  <c r="DM82" i="3"/>
  <c r="BG82" i="3"/>
  <c r="DO82" i="3" s="1"/>
  <c r="EB82" i="3" s="1"/>
  <c r="Z82" i="3"/>
  <c r="Y82" i="3" s="1"/>
  <c r="EX82" i="3" s="1"/>
  <c r="EY81" i="3"/>
  <c r="EX81" i="3"/>
  <c r="EQ81" i="3"/>
  <c r="EO81" i="3"/>
  <c r="EM81" i="3"/>
  <c r="ES81" i="3" s="1"/>
  <c r="EK81" i="3"/>
  <c r="EJ81" i="3"/>
  <c r="EI81" i="3"/>
  <c r="EC81" i="3"/>
  <c r="DZ81" i="3"/>
  <c r="DY81" i="3"/>
  <c r="DX81" i="3"/>
  <c r="DW81" i="3"/>
  <c r="DV81" i="3"/>
  <c r="DU81" i="3"/>
  <c r="DT81" i="3"/>
  <c r="DP81" i="3"/>
  <c r="DO81" i="3"/>
  <c r="EB81" i="3" s="1"/>
  <c r="DN81" i="3"/>
  <c r="DQ81" i="3" s="1"/>
  <c r="EA81" i="3" s="1"/>
  <c r="EE81" i="3" s="1"/>
  <c r="DM81" i="3"/>
  <c r="EY80" i="3"/>
  <c r="EX80" i="3"/>
  <c r="EQ80" i="3"/>
  <c r="EO80" i="3"/>
  <c r="EM80" i="3"/>
  <c r="ES80" i="3" s="1"/>
  <c r="EJ80" i="3"/>
  <c r="EI80" i="3"/>
  <c r="EK80" i="3" s="1"/>
  <c r="EC80" i="3"/>
  <c r="DZ80" i="3"/>
  <c r="DY80" i="3"/>
  <c r="DX80" i="3"/>
  <c r="DW80" i="3"/>
  <c r="DV80" i="3"/>
  <c r="DU80" i="3"/>
  <c r="DT80" i="3"/>
  <c r="DP80" i="3"/>
  <c r="DO80" i="3"/>
  <c r="EB80" i="3" s="1"/>
  <c r="DN80" i="3"/>
  <c r="DM80" i="3"/>
  <c r="EY79" i="3"/>
  <c r="EX79" i="3"/>
  <c r="EQ79" i="3"/>
  <c r="EO79" i="3"/>
  <c r="EM79" i="3"/>
  <c r="ES79" i="3" s="1"/>
  <c r="EJ79" i="3"/>
  <c r="EI79" i="3"/>
  <c r="EK79" i="3" s="1"/>
  <c r="EC79" i="3"/>
  <c r="DZ79" i="3"/>
  <c r="DY79" i="3"/>
  <c r="DX79" i="3"/>
  <c r="DW79" i="3"/>
  <c r="DV79" i="3"/>
  <c r="DU79" i="3"/>
  <c r="DT79" i="3"/>
  <c r="DP79" i="3"/>
  <c r="DO79" i="3"/>
  <c r="EB79" i="3" s="1"/>
  <c r="DN79" i="3"/>
  <c r="DQ79" i="3" s="1"/>
  <c r="DM79" i="3"/>
  <c r="BG79" i="3"/>
  <c r="EY78" i="3"/>
  <c r="ES78" i="3"/>
  <c r="EQ78" i="3"/>
  <c r="EO78" i="3"/>
  <c r="EM78" i="3"/>
  <c r="EJ78" i="3"/>
  <c r="EI78" i="3"/>
  <c r="EK78" i="3" s="1"/>
  <c r="DZ78" i="3"/>
  <c r="DY78" i="3"/>
  <c r="DX78" i="3"/>
  <c r="DW78" i="3"/>
  <c r="DV78" i="3"/>
  <c r="DU78" i="3"/>
  <c r="DT78" i="3"/>
  <c r="DP78" i="3"/>
  <c r="EC78" i="3" s="1"/>
  <c r="DN78" i="3"/>
  <c r="DQ78" i="3" s="1"/>
  <c r="EA78" i="3" s="1"/>
  <c r="DM78" i="3"/>
  <c r="BG78" i="3"/>
  <c r="DO78" i="3" s="1"/>
  <c r="EB78" i="3" s="1"/>
  <c r="Z78" i="3"/>
  <c r="Y78" i="3"/>
  <c r="EX78" i="3" s="1"/>
  <c r="EY77" i="3"/>
  <c r="EQ77" i="3"/>
  <c r="EO77" i="3"/>
  <c r="EM77" i="3"/>
  <c r="ES77" i="3" s="1"/>
  <c r="EJ77" i="3"/>
  <c r="EI77" i="3"/>
  <c r="EK77" i="3" s="1"/>
  <c r="EC77" i="3"/>
  <c r="DZ77" i="3"/>
  <c r="DY77" i="3"/>
  <c r="DX77" i="3"/>
  <c r="DW77" i="3"/>
  <c r="DV77" i="3"/>
  <c r="DU77" i="3"/>
  <c r="DT77" i="3"/>
  <c r="DQ77" i="3"/>
  <c r="DR77" i="3" s="1"/>
  <c r="DP77" i="3"/>
  <c r="DO77" i="3"/>
  <c r="EB77" i="3" s="1"/>
  <c r="DN77" i="3"/>
  <c r="DM77" i="3"/>
  <c r="Z77" i="3"/>
  <c r="Y77" i="3"/>
  <c r="EX77" i="3" s="1"/>
  <c r="EY76" i="3"/>
  <c r="EX76" i="3"/>
  <c r="EQ76" i="3"/>
  <c r="EO76" i="3"/>
  <c r="EM76" i="3"/>
  <c r="ES76" i="3" s="1"/>
  <c r="EJ76" i="3"/>
  <c r="EI76" i="3"/>
  <c r="EK76" i="3" s="1"/>
  <c r="EC76" i="3"/>
  <c r="DZ76" i="3"/>
  <c r="DY76" i="3"/>
  <c r="DX76" i="3"/>
  <c r="DW76" i="3"/>
  <c r="DV76" i="3"/>
  <c r="DU76" i="3"/>
  <c r="DT76" i="3"/>
  <c r="DQ76" i="3"/>
  <c r="DR76" i="3" s="1"/>
  <c r="DP76" i="3"/>
  <c r="DO76" i="3"/>
  <c r="EB76" i="3" s="1"/>
  <c r="DN76" i="3"/>
  <c r="DM76" i="3"/>
  <c r="EY75" i="3"/>
  <c r="EX75" i="3"/>
  <c r="EQ75" i="3"/>
  <c r="EO75" i="3"/>
  <c r="EM75" i="3"/>
  <c r="ES75" i="3" s="1"/>
  <c r="EK75" i="3"/>
  <c r="EJ75" i="3"/>
  <c r="EI75" i="3"/>
  <c r="EC75" i="3"/>
  <c r="DZ75" i="3"/>
  <c r="DY75" i="3"/>
  <c r="DX75" i="3"/>
  <c r="DW75" i="3"/>
  <c r="DV75" i="3"/>
  <c r="DU75" i="3"/>
  <c r="DT75" i="3"/>
  <c r="DP75" i="3"/>
  <c r="DO75" i="3"/>
  <c r="EB75" i="3" s="1"/>
  <c r="DN75" i="3"/>
  <c r="DQ75" i="3" s="1"/>
  <c r="DM75" i="3"/>
  <c r="BG75" i="3"/>
  <c r="EY74" i="3"/>
  <c r="EX74" i="3"/>
  <c r="ES74" i="3"/>
  <c r="EQ74" i="3"/>
  <c r="EO74" i="3"/>
  <c r="EM74" i="3"/>
  <c r="EK74" i="3"/>
  <c r="EJ74" i="3"/>
  <c r="EC74" i="3"/>
  <c r="DZ74" i="3"/>
  <c r="DY74" i="3"/>
  <c r="DX74" i="3"/>
  <c r="DW74" i="3"/>
  <c r="DV74" i="3"/>
  <c r="DU74" i="3"/>
  <c r="DT74" i="3"/>
  <c r="DP74" i="3"/>
  <c r="DO74" i="3"/>
  <c r="EB74" i="3" s="1"/>
  <c r="DN74" i="3"/>
  <c r="DQ74" i="3" s="1"/>
  <c r="DM74" i="3"/>
  <c r="EY73" i="3"/>
  <c r="EX73" i="3"/>
  <c r="EQ73" i="3"/>
  <c r="EO73" i="3"/>
  <c r="EM73" i="3"/>
  <c r="ES73" i="3" s="1"/>
  <c r="EK73" i="3"/>
  <c r="EJ73" i="3"/>
  <c r="EI73" i="3"/>
  <c r="EC73" i="3"/>
  <c r="EB73" i="3"/>
  <c r="DZ73" i="3"/>
  <c r="DY73" i="3"/>
  <c r="DX73" i="3"/>
  <c r="DW73" i="3"/>
  <c r="DV73" i="3"/>
  <c r="DU73" i="3"/>
  <c r="DT73" i="3"/>
  <c r="DP73" i="3"/>
  <c r="DO73" i="3"/>
  <c r="DN73" i="3"/>
  <c r="DQ73" i="3" s="1"/>
  <c r="DM73" i="3"/>
  <c r="Y73" i="3"/>
  <c r="EY72" i="3"/>
  <c r="EX72" i="3"/>
  <c r="ES72" i="3"/>
  <c r="EQ72" i="3"/>
  <c r="EO72" i="3"/>
  <c r="EM72" i="3"/>
  <c r="EJ72" i="3"/>
  <c r="EI72" i="3"/>
  <c r="EK72" i="3" s="1"/>
  <c r="EB72" i="3"/>
  <c r="DZ72" i="3"/>
  <c r="DY72" i="3"/>
  <c r="DX72" i="3"/>
  <c r="DW72" i="3"/>
  <c r="DV72" i="3"/>
  <c r="DU72" i="3"/>
  <c r="DT72" i="3"/>
  <c r="DR72" i="3"/>
  <c r="DP72" i="3"/>
  <c r="EC72" i="3" s="1"/>
  <c r="DO72" i="3"/>
  <c r="DN72" i="3"/>
  <c r="DQ72" i="3" s="1"/>
  <c r="EA72" i="3" s="1"/>
  <c r="DM72" i="3"/>
  <c r="EY71" i="3"/>
  <c r="EX71" i="3"/>
  <c r="ES71" i="3"/>
  <c r="EQ71" i="3"/>
  <c r="EO71" i="3"/>
  <c r="EM71" i="3"/>
  <c r="EJ71" i="3"/>
  <c r="EI71" i="3"/>
  <c r="EK71" i="3" s="1"/>
  <c r="DZ71" i="3"/>
  <c r="DY71" i="3"/>
  <c r="DX71" i="3"/>
  <c r="DW71" i="3"/>
  <c r="DV71" i="3"/>
  <c r="DU71" i="3"/>
  <c r="DT71" i="3"/>
  <c r="DP71" i="3"/>
  <c r="EC71" i="3" s="1"/>
  <c r="DN71" i="3"/>
  <c r="DQ71" i="3" s="1"/>
  <c r="EA71" i="3" s="1"/>
  <c r="DM71" i="3"/>
  <c r="BG71" i="3"/>
  <c r="DO71" i="3" s="1"/>
  <c r="EB71" i="3" s="1"/>
  <c r="EY70" i="3"/>
  <c r="EX70" i="3"/>
  <c r="EQ70" i="3"/>
  <c r="EO70" i="3"/>
  <c r="EM70" i="3"/>
  <c r="ES70" i="3" s="1"/>
  <c r="EK70" i="3"/>
  <c r="EJ70" i="3"/>
  <c r="EI70" i="3"/>
  <c r="EC70" i="3"/>
  <c r="DZ70" i="3"/>
  <c r="DY70" i="3"/>
  <c r="DX70" i="3"/>
  <c r="DW70" i="3"/>
  <c r="DV70" i="3"/>
  <c r="DU70" i="3"/>
  <c r="DT70" i="3"/>
  <c r="DQ70" i="3"/>
  <c r="DP70" i="3"/>
  <c r="DO70" i="3"/>
  <c r="EB70" i="3" s="1"/>
  <c r="DN70" i="3"/>
  <c r="DM70" i="3"/>
  <c r="BG70" i="3"/>
  <c r="Z70" i="3"/>
  <c r="Y70" i="3" s="1"/>
  <c r="EY69" i="3"/>
  <c r="EX69" i="3"/>
  <c r="ES69" i="3"/>
  <c r="EQ69" i="3"/>
  <c r="EO69" i="3"/>
  <c r="EM69" i="3"/>
  <c r="EJ69" i="3"/>
  <c r="EI69" i="3"/>
  <c r="EK69" i="3" s="1"/>
  <c r="EB69" i="3"/>
  <c r="DZ69" i="3"/>
  <c r="DY69" i="3"/>
  <c r="DX69" i="3"/>
  <c r="DW69" i="3"/>
  <c r="DV69" i="3"/>
  <c r="DU69" i="3"/>
  <c r="DT69" i="3"/>
  <c r="DP69" i="3"/>
  <c r="EC69" i="3" s="1"/>
  <c r="DO69" i="3"/>
  <c r="DN69" i="3"/>
  <c r="DM69" i="3"/>
  <c r="EY68" i="3"/>
  <c r="EX68" i="3"/>
  <c r="ES68" i="3"/>
  <c r="EQ68" i="3"/>
  <c r="EO68" i="3"/>
  <c r="EM68" i="3"/>
  <c r="EK68" i="3"/>
  <c r="EJ68" i="3"/>
  <c r="EI68" i="3"/>
  <c r="EB68" i="3"/>
  <c r="DZ68" i="3"/>
  <c r="DY68" i="3"/>
  <c r="DX68" i="3"/>
  <c r="DW68" i="3"/>
  <c r="DV68" i="3"/>
  <c r="DU68" i="3"/>
  <c r="DT68" i="3"/>
  <c r="DP68" i="3"/>
  <c r="EC68" i="3" s="1"/>
  <c r="DO68" i="3"/>
  <c r="DN68" i="3"/>
  <c r="DQ68" i="3" s="1"/>
  <c r="DM68" i="3"/>
  <c r="EY67" i="3"/>
  <c r="EX67" i="3"/>
  <c r="EQ67" i="3"/>
  <c r="EO67" i="3"/>
  <c r="EM67" i="3"/>
  <c r="ES67" i="3" s="1"/>
  <c r="EK67" i="3"/>
  <c r="EJ67" i="3"/>
  <c r="EI67" i="3"/>
  <c r="EC67" i="3"/>
  <c r="EB67" i="3"/>
  <c r="DZ67" i="3"/>
  <c r="DY67" i="3"/>
  <c r="DX67" i="3"/>
  <c r="DW67" i="3"/>
  <c r="DV67" i="3"/>
  <c r="DU67" i="3"/>
  <c r="DT67" i="3"/>
  <c r="DR67" i="3"/>
  <c r="DP67" i="3"/>
  <c r="DO67" i="3"/>
  <c r="DN67" i="3"/>
  <c r="DQ67" i="3" s="1"/>
  <c r="EA67" i="3" s="1"/>
  <c r="DM67" i="3"/>
  <c r="EY66" i="3"/>
  <c r="ES66" i="3"/>
  <c r="EQ66" i="3"/>
  <c r="EO66" i="3"/>
  <c r="EM66" i="3"/>
  <c r="EJ66" i="3"/>
  <c r="EI66" i="3"/>
  <c r="EK66" i="3" s="1"/>
  <c r="DZ66" i="3"/>
  <c r="DY66" i="3"/>
  <c r="DX66" i="3"/>
  <c r="DW66" i="3"/>
  <c r="DV66" i="3"/>
  <c r="DU66" i="3"/>
  <c r="DT66" i="3"/>
  <c r="DP66" i="3"/>
  <c r="EC66" i="3" s="1"/>
  <c r="DN66" i="3"/>
  <c r="DQ66" i="3" s="1"/>
  <c r="DM66" i="3"/>
  <c r="BG66" i="3"/>
  <c r="EY65" i="3"/>
  <c r="EX65" i="3"/>
  <c r="EQ65" i="3"/>
  <c r="EO65" i="3"/>
  <c r="EM65" i="3"/>
  <c r="ES65" i="3" s="1"/>
  <c r="EJ65" i="3"/>
  <c r="EI65" i="3"/>
  <c r="EK65" i="3" s="1"/>
  <c r="EC65" i="3"/>
  <c r="DZ65" i="3"/>
  <c r="DY65" i="3"/>
  <c r="DX65" i="3"/>
  <c r="DW65" i="3"/>
  <c r="DV65" i="3"/>
  <c r="DU65" i="3"/>
  <c r="DT65" i="3"/>
  <c r="DQ65" i="3"/>
  <c r="DR65" i="3" s="1"/>
  <c r="DP65" i="3"/>
  <c r="DO65" i="3"/>
  <c r="EB65" i="3" s="1"/>
  <c r="DN65" i="3"/>
  <c r="DM65" i="3"/>
  <c r="EY64" i="3"/>
  <c r="EX64" i="3"/>
  <c r="EQ64" i="3"/>
  <c r="EO64" i="3"/>
  <c r="EM64" i="3"/>
  <c r="ES64" i="3" s="1"/>
  <c r="EK64" i="3"/>
  <c r="EJ64" i="3"/>
  <c r="EI64" i="3"/>
  <c r="EC64" i="3"/>
  <c r="DZ64" i="3"/>
  <c r="DY64" i="3"/>
  <c r="DX64" i="3"/>
  <c r="DW64" i="3"/>
  <c r="DV64" i="3"/>
  <c r="DU64" i="3"/>
  <c r="DT64" i="3"/>
  <c r="DP64" i="3"/>
  <c r="DO64" i="3"/>
  <c r="EB64" i="3" s="1"/>
  <c r="DN64" i="3"/>
  <c r="DQ64" i="3" s="1"/>
  <c r="DM64" i="3"/>
  <c r="EY63" i="3"/>
  <c r="EX63" i="3"/>
  <c r="EQ63" i="3"/>
  <c r="EO63" i="3"/>
  <c r="EM63" i="3"/>
  <c r="ES63" i="3" s="1"/>
  <c r="EJ63" i="3"/>
  <c r="EI63" i="3"/>
  <c r="EK63" i="3" s="1"/>
  <c r="EC63" i="3"/>
  <c r="EA63" i="3"/>
  <c r="EE63" i="3" s="1"/>
  <c r="DZ63" i="3"/>
  <c r="DY63" i="3"/>
  <c r="DX63" i="3"/>
  <c r="DW63" i="3"/>
  <c r="DV63" i="3"/>
  <c r="DU63" i="3"/>
  <c r="DT63" i="3"/>
  <c r="DS63" i="3"/>
  <c r="EF63" i="3" s="1"/>
  <c r="EG63" i="3" s="1"/>
  <c r="DP63" i="3"/>
  <c r="DO63" i="3"/>
  <c r="EB63" i="3" s="1"/>
  <c r="DN63" i="3"/>
  <c r="DQ63" i="3" s="1"/>
  <c r="DR63" i="3" s="1"/>
  <c r="DM63" i="3"/>
  <c r="EY62" i="3"/>
  <c r="EX62" i="3"/>
  <c r="EQ62" i="3"/>
  <c r="EO62" i="3"/>
  <c r="EM62" i="3"/>
  <c r="ES62" i="3" s="1"/>
  <c r="EK62" i="3"/>
  <c r="EJ62" i="3"/>
  <c r="EI62" i="3"/>
  <c r="DZ62" i="3"/>
  <c r="DY62" i="3"/>
  <c r="DX62" i="3"/>
  <c r="DW62" i="3"/>
  <c r="DV62" i="3"/>
  <c r="DU62" i="3"/>
  <c r="DT62" i="3"/>
  <c r="DQ62" i="3"/>
  <c r="EA62" i="3" s="1"/>
  <c r="DP62" i="3"/>
  <c r="EC62" i="3" s="1"/>
  <c r="DO62" i="3"/>
  <c r="EB62" i="3" s="1"/>
  <c r="DN62" i="3"/>
  <c r="DM62" i="3"/>
  <c r="EY61" i="3"/>
  <c r="EX61" i="3"/>
  <c r="EQ61" i="3"/>
  <c r="EO61" i="3"/>
  <c r="EM61" i="3"/>
  <c r="ES61" i="3" s="1"/>
  <c r="EK61" i="3"/>
  <c r="EJ61" i="3"/>
  <c r="EI61" i="3"/>
  <c r="EC61" i="3"/>
  <c r="DZ61" i="3"/>
  <c r="DY61" i="3"/>
  <c r="DX61" i="3"/>
  <c r="DW61" i="3"/>
  <c r="DV61" i="3"/>
  <c r="DU61" i="3"/>
  <c r="DT61" i="3"/>
  <c r="DP61" i="3"/>
  <c r="DO61" i="3"/>
  <c r="EB61" i="3" s="1"/>
  <c r="DN61" i="3"/>
  <c r="DQ61" i="3" s="1"/>
  <c r="DM61" i="3"/>
  <c r="BG61" i="3"/>
  <c r="EY60" i="3"/>
  <c r="ES60" i="3"/>
  <c r="EQ60" i="3"/>
  <c r="EO60" i="3"/>
  <c r="EM60" i="3"/>
  <c r="EK60" i="3"/>
  <c r="EJ60" i="3"/>
  <c r="EI60" i="3"/>
  <c r="DZ60" i="3"/>
  <c r="DY60" i="3"/>
  <c r="DX60" i="3"/>
  <c r="DW60" i="3"/>
  <c r="DV60" i="3"/>
  <c r="DU60" i="3"/>
  <c r="DT60" i="3"/>
  <c r="DP60" i="3"/>
  <c r="EC60" i="3" s="1"/>
  <c r="DN60" i="3"/>
  <c r="DM60" i="3"/>
  <c r="BG60" i="3"/>
  <c r="EY59" i="3"/>
  <c r="EX59" i="3"/>
  <c r="EQ59" i="3"/>
  <c r="EO59" i="3"/>
  <c r="EM59" i="3"/>
  <c r="ES59" i="3" s="1"/>
  <c r="EJ59" i="3"/>
  <c r="EI59" i="3"/>
  <c r="EK59" i="3" s="1"/>
  <c r="EC59" i="3"/>
  <c r="DZ59" i="3"/>
  <c r="DY59" i="3"/>
  <c r="DX59" i="3"/>
  <c r="DW59" i="3"/>
  <c r="DV59" i="3"/>
  <c r="DU59" i="3"/>
  <c r="DT59" i="3"/>
  <c r="DP59" i="3"/>
  <c r="DO59" i="3"/>
  <c r="EB59" i="3" s="1"/>
  <c r="DN59" i="3"/>
  <c r="DQ59" i="3" s="1"/>
  <c r="DM59" i="3"/>
  <c r="BG59" i="3"/>
  <c r="EY58" i="3"/>
  <c r="EQ58" i="3"/>
  <c r="EO58" i="3"/>
  <c r="EM58" i="3"/>
  <c r="ES58" i="3" s="1"/>
  <c r="EK58" i="3"/>
  <c r="EJ58" i="3"/>
  <c r="EI58" i="3"/>
  <c r="DZ58" i="3"/>
  <c r="DY58" i="3"/>
  <c r="DX58" i="3"/>
  <c r="DW58" i="3"/>
  <c r="DV58" i="3"/>
  <c r="DU58" i="3"/>
  <c r="DT58" i="3"/>
  <c r="DP58" i="3"/>
  <c r="EC58" i="3" s="1"/>
  <c r="DN58" i="3"/>
  <c r="DM58" i="3"/>
  <c r="BG58" i="3"/>
  <c r="EY57" i="3"/>
  <c r="EX57" i="3"/>
  <c r="EQ57" i="3"/>
  <c r="EO57" i="3"/>
  <c r="EM57" i="3"/>
  <c r="ES57" i="3" s="1"/>
  <c r="EK57" i="3"/>
  <c r="EJ57" i="3"/>
  <c r="EI57" i="3"/>
  <c r="EC57" i="3"/>
  <c r="DZ57" i="3"/>
  <c r="DY57" i="3"/>
  <c r="DX57" i="3"/>
  <c r="DW57" i="3"/>
  <c r="DV57" i="3"/>
  <c r="DU57" i="3"/>
  <c r="DT57" i="3"/>
  <c r="DQ57" i="3"/>
  <c r="DR57" i="3" s="1"/>
  <c r="DP57" i="3"/>
  <c r="DO57" i="3"/>
  <c r="EB57" i="3" s="1"/>
  <c r="DN57" i="3"/>
  <c r="DM57" i="3"/>
  <c r="BG57" i="3"/>
  <c r="EY56" i="3"/>
  <c r="ES56" i="3"/>
  <c r="EQ56" i="3"/>
  <c r="EO56" i="3"/>
  <c r="EM56" i="3"/>
  <c r="EJ56" i="3"/>
  <c r="EI56" i="3"/>
  <c r="EK56" i="3" s="1"/>
  <c r="DZ56" i="3"/>
  <c r="DY56" i="3"/>
  <c r="DX56" i="3"/>
  <c r="DW56" i="3"/>
  <c r="DV56" i="3"/>
  <c r="DU56" i="3"/>
  <c r="DT56" i="3"/>
  <c r="DO56" i="3"/>
  <c r="EB56" i="3" s="1"/>
  <c r="DN56" i="3"/>
  <c r="DQ56" i="3" s="1"/>
  <c r="DR56" i="3" s="1"/>
  <c r="DM56" i="3"/>
  <c r="Z56" i="3"/>
  <c r="DP56" i="3" s="1"/>
  <c r="EC56" i="3" s="1"/>
  <c r="Y56" i="3"/>
  <c r="EX56" i="3" s="1"/>
  <c r="EY55" i="3"/>
  <c r="EX55" i="3"/>
  <c r="EQ55" i="3"/>
  <c r="EO55" i="3"/>
  <c r="EM55" i="3"/>
  <c r="ES55" i="3" s="1"/>
  <c r="EJ55" i="3"/>
  <c r="EI55" i="3"/>
  <c r="EK55" i="3" s="1"/>
  <c r="EC55" i="3"/>
  <c r="EA55" i="3"/>
  <c r="EE55" i="3" s="1"/>
  <c r="DZ55" i="3"/>
  <c r="DY55" i="3"/>
  <c r="DX55" i="3"/>
  <c r="DW55" i="3"/>
  <c r="DV55" i="3"/>
  <c r="DU55" i="3"/>
  <c r="DT55" i="3"/>
  <c r="DS55" i="3"/>
  <c r="EF55" i="3" s="1"/>
  <c r="EG55" i="3" s="1"/>
  <c r="DQ55" i="3"/>
  <c r="DR55" i="3" s="1"/>
  <c r="DP55" i="3"/>
  <c r="DO55" i="3"/>
  <c r="EB55" i="3" s="1"/>
  <c r="DN55" i="3"/>
  <c r="DM55" i="3"/>
  <c r="P55" i="3"/>
  <c r="EY54" i="3"/>
  <c r="EX54" i="3"/>
  <c r="ES54" i="3"/>
  <c r="EQ54" i="3"/>
  <c r="EO54" i="3"/>
  <c r="EM54" i="3"/>
  <c r="EJ54" i="3"/>
  <c r="EI54" i="3"/>
  <c r="EK54" i="3" s="1"/>
  <c r="DZ54" i="3"/>
  <c r="DY54" i="3"/>
  <c r="DX54" i="3"/>
  <c r="DW54" i="3"/>
  <c r="DV54" i="3"/>
  <c r="DU54" i="3"/>
  <c r="DT54" i="3"/>
  <c r="DP54" i="3"/>
  <c r="EC54" i="3" s="1"/>
  <c r="DN54" i="3"/>
  <c r="DM54" i="3"/>
  <c r="BG54" i="3"/>
  <c r="DO54" i="3" s="1"/>
  <c r="EB54" i="3" s="1"/>
  <c r="EY53" i="3"/>
  <c r="EX53" i="3"/>
  <c r="EQ53" i="3"/>
  <c r="EO53" i="3"/>
  <c r="EM53" i="3"/>
  <c r="ES53" i="3" s="1"/>
  <c r="EK53" i="3"/>
  <c r="EJ53" i="3"/>
  <c r="EI53" i="3"/>
  <c r="EC53" i="3"/>
  <c r="DZ53" i="3"/>
  <c r="DY53" i="3"/>
  <c r="DX53" i="3"/>
  <c r="DW53" i="3"/>
  <c r="DV53" i="3"/>
  <c r="DU53" i="3"/>
  <c r="DT53" i="3"/>
  <c r="DQ53" i="3"/>
  <c r="DP53" i="3"/>
  <c r="DO53" i="3"/>
  <c r="EB53" i="3" s="1"/>
  <c r="DN53" i="3"/>
  <c r="DM53" i="3"/>
  <c r="BG53" i="3"/>
  <c r="EY52" i="3"/>
  <c r="EX52" i="3"/>
  <c r="ES52" i="3"/>
  <c r="EQ52" i="3"/>
  <c r="EO52" i="3"/>
  <c r="EM52" i="3"/>
  <c r="EK52" i="3"/>
  <c r="EJ52" i="3"/>
  <c r="EI52" i="3"/>
  <c r="EB52" i="3"/>
  <c r="DZ52" i="3"/>
  <c r="DY52" i="3"/>
  <c r="DX52" i="3"/>
  <c r="DW52" i="3"/>
  <c r="DV52" i="3"/>
  <c r="DU52" i="3"/>
  <c r="DT52" i="3"/>
  <c r="DP52" i="3"/>
  <c r="EC52" i="3" s="1"/>
  <c r="DO52" i="3"/>
  <c r="DN52" i="3"/>
  <c r="DM52" i="3"/>
  <c r="EY51" i="3"/>
  <c r="EQ51" i="3"/>
  <c r="EO51" i="3"/>
  <c r="EM51" i="3"/>
  <c r="ES51" i="3" s="1"/>
  <c r="EK51" i="3"/>
  <c r="EJ51" i="3"/>
  <c r="EI51" i="3"/>
  <c r="EC51" i="3"/>
  <c r="EB51" i="3"/>
  <c r="DZ51" i="3"/>
  <c r="DY51" i="3"/>
  <c r="DX51" i="3"/>
  <c r="DW51" i="3"/>
  <c r="DV51" i="3"/>
  <c r="DU51" i="3"/>
  <c r="DT51" i="3"/>
  <c r="DP51" i="3"/>
  <c r="DN51" i="3"/>
  <c r="DM51" i="3"/>
  <c r="BG51" i="3"/>
  <c r="DO51" i="3" s="1"/>
  <c r="Z51" i="3"/>
  <c r="Y51" i="3"/>
  <c r="EY50" i="3"/>
  <c r="EX50" i="3"/>
  <c r="EQ50" i="3"/>
  <c r="EO50" i="3"/>
  <c r="EM50" i="3"/>
  <c r="ES50" i="3" s="1"/>
  <c r="EJ50" i="3"/>
  <c r="EI50" i="3"/>
  <c r="EK50" i="3" s="1"/>
  <c r="EC50" i="3"/>
  <c r="EA50" i="3"/>
  <c r="DZ50" i="3"/>
  <c r="DY50" i="3"/>
  <c r="DX50" i="3"/>
  <c r="DW50" i="3"/>
  <c r="DV50" i="3"/>
  <c r="DU50" i="3"/>
  <c r="DT50" i="3"/>
  <c r="DS50" i="3"/>
  <c r="EF50" i="3" s="1"/>
  <c r="EG50" i="3" s="1"/>
  <c r="DP50" i="3"/>
  <c r="DO50" i="3"/>
  <c r="EB50" i="3" s="1"/>
  <c r="DN50" i="3"/>
  <c r="DQ50" i="3" s="1"/>
  <c r="DR50" i="3" s="1"/>
  <c r="DM50" i="3"/>
  <c r="P50" i="3"/>
  <c r="EY49" i="3"/>
  <c r="EQ49" i="3"/>
  <c r="EO49" i="3"/>
  <c r="EM49" i="3"/>
  <c r="ES49" i="3" s="1"/>
  <c r="EJ49" i="3"/>
  <c r="EI49" i="3"/>
  <c r="EK49" i="3" s="1"/>
  <c r="EB49" i="3"/>
  <c r="DZ49" i="3"/>
  <c r="DY49" i="3"/>
  <c r="DX49" i="3"/>
  <c r="DW49" i="3"/>
  <c r="DV49" i="3"/>
  <c r="DU49" i="3"/>
  <c r="DT49" i="3"/>
  <c r="DP49" i="3"/>
  <c r="EC49" i="3" s="1"/>
  <c r="DO49" i="3"/>
  <c r="DN49" i="3"/>
  <c r="DQ49" i="3" s="1"/>
  <c r="EA49" i="3" s="1"/>
  <c r="DM49" i="3"/>
  <c r="P49" i="3"/>
  <c r="EX49" i="3" s="1"/>
  <c r="EY48" i="3"/>
  <c r="EX48" i="3"/>
  <c r="EQ48" i="3"/>
  <c r="EO48" i="3"/>
  <c r="EM48" i="3"/>
  <c r="ES48" i="3" s="1"/>
  <c r="EK48" i="3"/>
  <c r="EJ48" i="3"/>
  <c r="EI48" i="3"/>
  <c r="EC48" i="3"/>
  <c r="DZ48" i="3"/>
  <c r="DY48" i="3"/>
  <c r="DX48" i="3"/>
  <c r="DW48" i="3"/>
  <c r="DV48" i="3"/>
  <c r="DU48" i="3"/>
  <c r="DT48" i="3"/>
  <c r="DP48" i="3"/>
  <c r="DO48" i="3"/>
  <c r="EB48" i="3" s="1"/>
  <c r="DN48" i="3"/>
  <c r="DQ48" i="3" s="1"/>
  <c r="DR48" i="3" s="1"/>
  <c r="DM48" i="3"/>
  <c r="BG48" i="3"/>
  <c r="EY47" i="3"/>
  <c r="ES47" i="3"/>
  <c r="EQ47" i="3"/>
  <c r="EO47" i="3"/>
  <c r="EM47" i="3"/>
  <c r="EJ47" i="3"/>
  <c r="EI47" i="3"/>
  <c r="EK47" i="3" s="1"/>
  <c r="EC47" i="3"/>
  <c r="EA47" i="3"/>
  <c r="EE47" i="3" s="1"/>
  <c r="DZ47" i="3"/>
  <c r="DY47" i="3"/>
  <c r="DX47" i="3"/>
  <c r="DW47" i="3"/>
  <c r="DV47" i="3"/>
  <c r="DU47" i="3"/>
  <c r="DT47" i="3"/>
  <c r="DS47" i="3"/>
  <c r="EF47" i="3" s="1"/>
  <c r="EG47" i="3" s="1"/>
  <c r="DP47" i="3"/>
  <c r="DO47" i="3"/>
  <c r="EB47" i="3" s="1"/>
  <c r="DN47" i="3"/>
  <c r="DQ47" i="3" s="1"/>
  <c r="DR47" i="3" s="1"/>
  <c r="DM47" i="3"/>
  <c r="Z47" i="3"/>
  <c r="Y47" i="3"/>
  <c r="EX47" i="3" s="1"/>
  <c r="EY46" i="3"/>
  <c r="EX46" i="3"/>
  <c r="EQ46" i="3"/>
  <c r="EO46" i="3"/>
  <c r="EM46" i="3"/>
  <c r="ES46" i="3" s="1"/>
  <c r="EJ46" i="3"/>
  <c r="EI46" i="3"/>
  <c r="EK46" i="3" s="1"/>
  <c r="EC46" i="3"/>
  <c r="DZ46" i="3"/>
  <c r="DY46" i="3"/>
  <c r="DX46" i="3"/>
  <c r="DW46" i="3"/>
  <c r="DV46" i="3"/>
  <c r="DU46" i="3"/>
  <c r="DT46" i="3"/>
  <c r="DQ46" i="3"/>
  <c r="DR46" i="3" s="1"/>
  <c r="DP46" i="3"/>
  <c r="DO46" i="3"/>
  <c r="EB46" i="3" s="1"/>
  <c r="DN46" i="3"/>
  <c r="DM46" i="3"/>
  <c r="BG46" i="3"/>
  <c r="EY45" i="3"/>
  <c r="EX45" i="3"/>
  <c r="ES45" i="3"/>
  <c r="EQ45" i="3"/>
  <c r="EO45" i="3"/>
  <c r="EM45" i="3"/>
  <c r="EJ45" i="3"/>
  <c r="EI45" i="3"/>
  <c r="EK45" i="3" s="1"/>
  <c r="EC45" i="3"/>
  <c r="EB45" i="3"/>
  <c r="DZ45" i="3"/>
  <c r="DY45" i="3"/>
  <c r="DX45" i="3"/>
  <c r="DW45" i="3"/>
  <c r="DV45" i="3"/>
  <c r="DU45" i="3"/>
  <c r="DT45" i="3"/>
  <c r="DP45" i="3"/>
  <c r="DO45" i="3"/>
  <c r="DN45" i="3"/>
  <c r="DM45" i="3"/>
  <c r="EY44" i="3"/>
  <c r="EX44" i="3"/>
  <c r="EQ44" i="3"/>
  <c r="EO44" i="3"/>
  <c r="EM44" i="3"/>
  <c r="ES44" i="3" s="1"/>
  <c r="EJ44" i="3"/>
  <c r="EI44" i="3"/>
  <c r="EK44" i="3" s="1"/>
  <c r="EB44" i="3"/>
  <c r="DZ44" i="3"/>
  <c r="DY44" i="3"/>
  <c r="DX44" i="3"/>
  <c r="DW44" i="3"/>
  <c r="DV44" i="3"/>
  <c r="DU44" i="3"/>
  <c r="DT44" i="3"/>
  <c r="DQ44" i="3"/>
  <c r="EA44" i="3" s="1"/>
  <c r="DP44" i="3"/>
  <c r="EC44" i="3" s="1"/>
  <c r="DO44" i="3"/>
  <c r="DN44" i="3"/>
  <c r="DM44" i="3"/>
  <c r="EY43" i="3"/>
  <c r="ES43" i="3"/>
  <c r="EQ43" i="3"/>
  <c r="EO43" i="3"/>
  <c r="EM43" i="3"/>
  <c r="EJ43" i="3"/>
  <c r="EI43" i="3"/>
  <c r="EK43" i="3" s="1"/>
  <c r="DZ43" i="3"/>
  <c r="DY43" i="3"/>
  <c r="DX43" i="3"/>
  <c r="DW43" i="3"/>
  <c r="DV43" i="3"/>
  <c r="DU43" i="3"/>
  <c r="DT43" i="3"/>
  <c r="DP43" i="3"/>
  <c r="EC43" i="3" s="1"/>
  <c r="DO43" i="3"/>
  <c r="EB43" i="3" s="1"/>
  <c r="DN43" i="3"/>
  <c r="DM43" i="3"/>
  <c r="BG43" i="3"/>
  <c r="EX43" i="3" s="1"/>
  <c r="EY42" i="3"/>
  <c r="EX42" i="3"/>
  <c r="EQ42" i="3"/>
  <c r="EO42" i="3"/>
  <c r="EM42" i="3"/>
  <c r="ES42" i="3" s="1"/>
  <c r="EJ42" i="3"/>
  <c r="EI42" i="3"/>
  <c r="EK42" i="3" s="1"/>
  <c r="EC42" i="3"/>
  <c r="DZ42" i="3"/>
  <c r="DY42" i="3"/>
  <c r="DX42" i="3"/>
  <c r="DW42" i="3"/>
  <c r="DV42" i="3"/>
  <c r="DU42" i="3"/>
  <c r="DT42" i="3"/>
  <c r="DP42" i="3"/>
  <c r="DO42" i="3"/>
  <c r="EB42" i="3" s="1"/>
  <c r="DN42" i="3"/>
  <c r="DQ42" i="3" s="1"/>
  <c r="DM42" i="3"/>
  <c r="BG42" i="3"/>
  <c r="EY41" i="3"/>
  <c r="EX41" i="3"/>
  <c r="EQ41" i="3"/>
  <c r="EO41" i="3"/>
  <c r="EM41" i="3"/>
  <c r="ES41" i="3" s="1"/>
  <c r="EJ41" i="3"/>
  <c r="EI41" i="3"/>
  <c r="EK41" i="3" s="1"/>
  <c r="EC41" i="3"/>
  <c r="EB41" i="3"/>
  <c r="DZ41" i="3"/>
  <c r="DY41" i="3"/>
  <c r="DX41" i="3"/>
  <c r="DW41" i="3"/>
  <c r="DV41" i="3"/>
  <c r="DU41" i="3"/>
  <c r="DT41" i="3"/>
  <c r="DP41" i="3"/>
  <c r="DO41" i="3"/>
  <c r="DN41" i="3"/>
  <c r="DQ41" i="3" s="1"/>
  <c r="EA41" i="3" s="1"/>
  <c r="DM41" i="3"/>
  <c r="EY40" i="3"/>
  <c r="ES40" i="3"/>
  <c r="EQ40" i="3"/>
  <c r="EO40" i="3"/>
  <c r="EM40" i="3"/>
  <c r="EK40" i="3"/>
  <c r="EJ40" i="3"/>
  <c r="EI40" i="3"/>
  <c r="EC40" i="3"/>
  <c r="DZ40" i="3"/>
  <c r="DY40" i="3"/>
  <c r="DX40" i="3"/>
  <c r="DW40" i="3"/>
  <c r="DV40" i="3"/>
  <c r="DU40" i="3"/>
  <c r="DT40" i="3"/>
  <c r="DP40" i="3"/>
  <c r="DO40" i="3"/>
  <c r="EB40" i="3" s="1"/>
  <c r="DN40" i="3"/>
  <c r="DQ40" i="3" s="1"/>
  <c r="DM40" i="3"/>
  <c r="BG40" i="3"/>
  <c r="P40" i="3"/>
  <c r="EX40" i="3" s="1"/>
  <c r="EY39" i="3"/>
  <c r="EX39" i="3"/>
  <c r="EQ39" i="3"/>
  <c r="EO39" i="3"/>
  <c r="EM39" i="3"/>
  <c r="ES39" i="3" s="1"/>
  <c r="EJ39" i="3"/>
  <c r="EI39" i="3"/>
  <c r="EK39" i="3" s="1"/>
  <c r="DZ39" i="3"/>
  <c r="DY39" i="3"/>
  <c r="DX39" i="3"/>
  <c r="DW39" i="3"/>
  <c r="DV39" i="3"/>
  <c r="DU39" i="3"/>
  <c r="DT39" i="3"/>
  <c r="DP39" i="3"/>
  <c r="EC39" i="3" s="1"/>
  <c r="DO39" i="3"/>
  <c r="EB39" i="3" s="1"/>
  <c r="DN39" i="3"/>
  <c r="DQ39" i="3" s="1"/>
  <c r="DM39" i="3"/>
  <c r="EY38" i="3"/>
  <c r="ES38" i="3"/>
  <c r="EQ38" i="3"/>
  <c r="EO38" i="3"/>
  <c r="EM38" i="3"/>
  <c r="EK38" i="3"/>
  <c r="EJ38" i="3"/>
  <c r="EI38" i="3"/>
  <c r="EB38" i="3"/>
  <c r="DZ38" i="3"/>
  <c r="DY38" i="3"/>
  <c r="DX38" i="3"/>
  <c r="DW38" i="3"/>
  <c r="DV38" i="3"/>
  <c r="DU38" i="3"/>
  <c r="DT38" i="3"/>
  <c r="DQ38" i="3"/>
  <c r="DR38" i="3" s="1"/>
  <c r="DP38" i="3"/>
  <c r="EC38" i="3" s="1"/>
  <c r="DO38" i="3"/>
  <c r="DN38" i="3"/>
  <c r="DM38" i="3"/>
  <c r="Y38" i="3"/>
  <c r="EX38" i="3" s="1"/>
  <c r="EY37" i="3"/>
  <c r="ES37" i="3"/>
  <c r="EQ37" i="3"/>
  <c r="EO37" i="3"/>
  <c r="EM37" i="3"/>
  <c r="EK37" i="3"/>
  <c r="EJ37" i="3"/>
  <c r="EI37" i="3"/>
  <c r="DZ37" i="3"/>
  <c r="DY37" i="3"/>
  <c r="DX37" i="3"/>
  <c r="DW37" i="3"/>
  <c r="DV37" i="3"/>
  <c r="DU37" i="3"/>
  <c r="DT37" i="3"/>
  <c r="DP37" i="3"/>
  <c r="EC37" i="3" s="1"/>
  <c r="DO37" i="3"/>
  <c r="EB37" i="3" s="1"/>
  <c r="DN37" i="3"/>
  <c r="DM37" i="3"/>
  <c r="BG37" i="3"/>
  <c r="EX37" i="3" s="1"/>
  <c r="EY36" i="3"/>
  <c r="EQ36" i="3"/>
  <c r="EO36" i="3"/>
  <c r="EM36" i="3"/>
  <c r="ES36" i="3" s="1"/>
  <c r="EJ36" i="3"/>
  <c r="EI36" i="3"/>
  <c r="EK36" i="3" s="1"/>
  <c r="EE36" i="3"/>
  <c r="EC36" i="3"/>
  <c r="DZ36" i="3"/>
  <c r="DY36" i="3"/>
  <c r="DX36" i="3"/>
  <c r="DW36" i="3"/>
  <c r="DV36" i="3"/>
  <c r="DU36" i="3"/>
  <c r="DT36" i="3"/>
  <c r="DP36" i="3"/>
  <c r="DO36" i="3"/>
  <c r="EB36" i="3" s="1"/>
  <c r="DN36" i="3"/>
  <c r="DQ36" i="3" s="1"/>
  <c r="EA36" i="3" s="1"/>
  <c r="DM36" i="3"/>
  <c r="BG36" i="3"/>
  <c r="EX36" i="3" s="1"/>
  <c r="EY35" i="3"/>
  <c r="EX35" i="3"/>
  <c r="EQ35" i="3"/>
  <c r="EO35" i="3"/>
  <c r="EM35" i="3"/>
  <c r="ES35" i="3" s="1"/>
  <c r="EK35" i="3"/>
  <c r="EJ35" i="3"/>
  <c r="EC35" i="3"/>
  <c r="EB35" i="3"/>
  <c r="DZ35" i="3"/>
  <c r="DY35" i="3"/>
  <c r="DX35" i="3"/>
  <c r="DW35" i="3"/>
  <c r="DV35" i="3"/>
  <c r="DU35" i="3"/>
  <c r="DT35" i="3"/>
  <c r="DP35" i="3"/>
  <c r="DO35" i="3"/>
  <c r="DN35" i="3"/>
  <c r="DM35" i="3"/>
  <c r="EY34" i="3"/>
  <c r="EQ34" i="3"/>
  <c r="EO34" i="3"/>
  <c r="EM34" i="3"/>
  <c r="ES34" i="3" s="1"/>
  <c r="EJ34" i="3"/>
  <c r="EI34" i="3"/>
  <c r="EK34" i="3" s="1"/>
  <c r="DZ34" i="3"/>
  <c r="DY34" i="3"/>
  <c r="DX34" i="3"/>
  <c r="DW34" i="3"/>
  <c r="DV34" i="3"/>
  <c r="DU34" i="3"/>
  <c r="DT34" i="3"/>
  <c r="DO34" i="3"/>
  <c r="EB34" i="3" s="1"/>
  <c r="DN34" i="3"/>
  <c r="DM34" i="3"/>
  <c r="AV34" i="3"/>
  <c r="AW34" i="3" s="1"/>
  <c r="EY33" i="3"/>
  <c r="EX33" i="3"/>
  <c r="EQ33" i="3"/>
  <c r="EO33" i="3"/>
  <c r="EM33" i="3"/>
  <c r="ES33" i="3" s="1"/>
  <c r="EJ33" i="3"/>
  <c r="EI33" i="3"/>
  <c r="EK33" i="3" s="1"/>
  <c r="EC33" i="3"/>
  <c r="DZ33" i="3"/>
  <c r="DY33" i="3"/>
  <c r="DX33" i="3"/>
  <c r="DW33" i="3"/>
  <c r="DV33" i="3"/>
  <c r="DU33" i="3"/>
  <c r="DT33" i="3"/>
  <c r="DP33" i="3"/>
  <c r="DO33" i="3"/>
  <c r="EB33" i="3" s="1"/>
  <c r="DN33" i="3"/>
  <c r="DQ33" i="3" s="1"/>
  <c r="DM33" i="3"/>
  <c r="CJ33" i="3"/>
  <c r="CJ120" i="3" s="1"/>
  <c r="CJ122" i="3" s="1"/>
  <c r="CI33" i="3"/>
  <c r="CI120" i="3" s="1"/>
  <c r="CI122" i="3" s="1"/>
  <c r="EY32" i="3"/>
  <c r="EX32" i="3"/>
  <c r="EQ32" i="3"/>
  <c r="EO32" i="3"/>
  <c r="EM32" i="3"/>
  <c r="ES32" i="3" s="1"/>
  <c r="EJ32" i="3"/>
  <c r="EI32" i="3"/>
  <c r="EK32" i="3" s="1"/>
  <c r="EC32" i="3"/>
  <c r="EB32" i="3"/>
  <c r="DZ32" i="3"/>
  <c r="DY32" i="3"/>
  <c r="DX32" i="3"/>
  <c r="DW32" i="3"/>
  <c r="DV32" i="3"/>
  <c r="DU32" i="3"/>
  <c r="DT32" i="3"/>
  <c r="DP32" i="3"/>
  <c r="DO32" i="3"/>
  <c r="DN32" i="3"/>
  <c r="DQ32" i="3" s="1"/>
  <c r="DM32" i="3"/>
  <c r="EY31" i="3"/>
  <c r="ES31" i="3"/>
  <c r="EQ31" i="3"/>
  <c r="EO31" i="3"/>
  <c r="EM31" i="3"/>
  <c r="EK31" i="3"/>
  <c r="EJ31" i="3"/>
  <c r="EI31" i="3"/>
  <c r="DZ31" i="3"/>
  <c r="DY31" i="3"/>
  <c r="DX31" i="3"/>
  <c r="DW31" i="3"/>
  <c r="DV31" i="3"/>
  <c r="DU31" i="3"/>
  <c r="DT31" i="3"/>
  <c r="DO31" i="3"/>
  <c r="EB31" i="3" s="1"/>
  <c r="DN31" i="3"/>
  <c r="DM31" i="3"/>
  <c r="AV31" i="3"/>
  <c r="EY30" i="3"/>
  <c r="EQ30" i="3"/>
  <c r="EO30" i="3"/>
  <c r="EM30" i="3"/>
  <c r="ES30" i="3" s="1"/>
  <c r="EJ30" i="3"/>
  <c r="EI30" i="3"/>
  <c r="EK30" i="3" s="1"/>
  <c r="DZ30" i="3"/>
  <c r="DY30" i="3"/>
  <c r="DX30" i="3"/>
  <c r="DW30" i="3"/>
  <c r="DV30" i="3"/>
  <c r="DU30" i="3"/>
  <c r="DT30" i="3"/>
  <c r="DO30" i="3"/>
  <c r="EB30" i="3" s="1"/>
  <c r="DN30" i="3"/>
  <c r="DM30" i="3"/>
  <c r="AW30" i="3"/>
  <c r="EX30" i="3" s="1"/>
  <c r="AV30" i="3"/>
  <c r="EY29" i="3"/>
  <c r="EX29" i="3"/>
  <c r="EQ29" i="3"/>
  <c r="EO29" i="3"/>
  <c r="EM29" i="3"/>
  <c r="ES29" i="3" s="1"/>
  <c r="EJ29" i="3"/>
  <c r="EI29" i="3"/>
  <c r="EK29" i="3" s="1"/>
  <c r="EC29" i="3"/>
  <c r="DZ29" i="3"/>
  <c r="DY29" i="3"/>
  <c r="DX29" i="3"/>
  <c r="DW29" i="3"/>
  <c r="DV29" i="3"/>
  <c r="DU29" i="3"/>
  <c r="DT29" i="3"/>
  <c r="DP29" i="3"/>
  <c r="DN29" i="3"/>
  <c r="DQ29" i="3" s="1"/>
  <c r="DM29" i="3"/>
  <c r="BG29" i="3"/>
  <c r="DO29" i="3" s="1"/>
  <c r="EB29" i="3" s="1"/>
  <c r="EY28" i="3"/>
  <c r="EX28" i="3"/>
  <c r="EQ28" i="3"/>
  <c r="EO28" i="3"/>
  <c r="EM28" i="3"/>
  <c r="ES28" i="3" s="1"/>
  <c r="EK28" i="3"/>
  <c r="EJ28" i="3"/>
  <c r="EI28" i="3"/>
  <c r="EB28" i="3"/>
  <c r="DZ28" i="3"/>
  <c r="DY28" i="3"/>
  <c r="DX28" i="3"/>
  <c r="DW28" i="3"/>
  <c r="DV28" i="3"/>
  <c r="DU28" i="3"/>
  <c r="DT28" i="3"/>
  <c r="DP28" i="3"/>
  <c r="DO28" i="3"/>
  <c r="DN28" i="3"/>
  <c r="DM28" i="3"/>
  <c r="EY27" i="3"/>
  <c r="EX27" i="3"/>
  <c r="EQ27" i="3"/>
  <c r="EO27" i="3"/>
  <c r="EM27" i="3"/>
  <c r="ES27" i="3" s="1"/>
  <c r="EJ27" i="3"/>
  <c r="EI27" i="3"/>
  <c r="EK27" i="3" s="1"/>
  <c r="EC27" i="3"/>
  <c r="EA27" i="3"/>
  <c r="EE27" i="3" s="1"/>
  <c r="DZ27" i="3"/>
  <c r="DY27" i="3"/>
  <c r="DX27" i="3"/>
  <c r="DW27" i="3"/>
  <c r="DV27" i="3"/>
  <c r="DU27" i="3"/>
  <c r="DT27" i="3"/>
  <c r="DP27" i="3"/>
  <c r="DO27" i="3"/>
  <c r="EB27" i="3" s="1"/>
  <c r="DN27" i="3"/>
  <c r="DQ27" i="3" s="1"/>
  <c r="DR27" i="3" s="1"/>
  <c r="DM27" i="3"/>
  <c r="EY26" i="3"/>
  <c r="EX26" i="3"/>
  <c r="ES26" i="3"/>
  <c r="EQ26" i="3"/>
  <c r="EO26" i="3"/>
  <c r="EM26" i="3"/>
  <c r="EK26" i="3"/>
  <c r="EJ26" i="3"/>
  <c r="EI26" i="3"/>
  <c r="DZ26" i="3"/>
  <c r="DY26" i="3"/>
  <c r="DX26" i="3"/>
  <c r="DW26" i="3"/>
  <c r="DV26" i="3"/>
  <c r="DU26" i="3"/>
  <c r="DT26" i="3"/>
  <c r="DO26" i="3"/>
  <c r="EB26" i="3" s="1"/>
  <c r="DN26" i="3"/>
  <c r="DM26" i="3"/>
  <c r="AV26" i="3"/>
  <c r="AW26" i="3" s="1"/>
  <c r="DP26" i="3" s="1"/>
  <c r="EC26" i="3" s="1"/>
  <c r="EY25" i="3"/>
  <c r="EX25" i="3"/>
  <c r="ES25" i="3"/>
  <c r="EQ25" i="3"/>
  <c r="EO25" i="3"/>
  <c r="EM25" i="3"/>
  <c r="EK25" i="3"/>
  <c r="EJ25" i="3"/>
  <c r="EI25" i="3"/>
  <c r="DZ25" i="3"/>
  <c r="DY25" i="3"/>
  <c r="DX25" i="3"/>
  <c r="DW25" i="3"/>
  <c r="DV25" i="3"/>
  <c r="DU25" i="3"/>
  <c r="DT25" i="3"/>
  <c r="DP25" i="3"/>
  <c r="EC25" i="3" s="1"/>
  <c r="DO25" i="3"/>
  <c r="EB25" i="3" s="1"/>
  <c r="DN25" i="3"/>
  <c r="DQ25" i="3" s="1"/>
  <c r="DR25" i="3" s="1"/>
  <c r="DM25" i="3"/>
  <c r="EY24" i="3"/>
  <c r="EX24" i="3"/>
  <c r="EQ24" i="3"/>
  <c r="EO24" i="3"/>
  <c r="EM24" i="3"/>
  <c r="ES24" i="3" s="1"/>
  <c r="EJ24" i="3"/>
  <c r="EI24" i="3"/>
  <c r="EK24" i="3" s="1"/>
  <c r="EC24" i="3"/>
  <c r="DZ24" i="3"/>
  <c r="DY24" i="3"/>
  <c r="DX24" i="3"/>
  <c r="DW24" i="3"/>
  <c r="DV24" i="3"/>
  <c r="DU24" i="3"/>
  <c r="DT24" i="3"/>
  <c r="DP24" i="3"/>
  <c r="DN24" i="3"/>
  <c r="DQ24" i="3" s="1"/>
  <c r="DM24" i="3"/>
  <c r="BG24" i="3"/>
  <c r="DO24" i="3" s="1"/>
  <c r="EB24" i="3" s="1"/>
  <c r="Z24" i="3"/>
  <c r="Y24" i="3"/>
  <c r="EY23" i="3"/>
  <c r="EQ23" i="3"/>
  <c r="EO23" i="3"/>
  <c r="EM23" i="3"/>
  <c r="ES23" i="3" s="1"/>
  <c r="EJ23" i="3"/>
  <c r="EI23" i="3"/>
  <c r="EK23" i="3" s="1"/>
  <c r="DZ23" i="3"/>
  <c r="DY23" i="3"/>
  <c r="DX23" i="3"/>
  <c r="DW23" i="3"/>
  <c r="DV23" i="3"/>
  <c r="DU23" i="3"/>
  <c r="DT23" i="3"/>
  <c r="DO23" i="3"/>
  <c r="EB23" i="3" s="1"/>
  <c r="DN23" i="3"/>
  <c r="DM23" i="3"/>
  <c r="AW23" i="3"/>
  <c r="EX23" i="3" s="1"/>
  <c r="AV23" i="3"/>
  <c r="EY22" i="3"/>
  <c r="EX22" i="3"/>
  <c r="EQ22" i="3"/>
  <c r="EO22" i="3"/>
  <c r="EM22" i="3"/>
  <c r="ES22" i="3" s="1"/>
  <c r="EJ22" i="3"/>
  <c r="EI22" i="3"/>
  <c r="EK22" i="3" s="1"/>
  <c r="EC22" i="3"/>
  <c r="DZ22" i="3"/>
  <c r="DY22" i="3"/>
  <c r="DX22" i="3"/>
  <c r="DW22" i="3"/>
  <c r="DV22" i="3"/>
  <c r="DU22" i="3"/>
  <c r="DT22" i="3"/>
  <c r="DQ22" i="3"/>
  <c r="DP22" i="3"/>
  <c r="DO22" i="3"/>
  <c r="EB22" i="3" s="1"/>
  <c r="DN22" i="3"/>
  <c r="DM22" i="3"/>
  <c r="EY21" i="3"/>
  <c r="EX21" i="3"/>
  <c r="ES21" i="3"/>
  <c r="EQ21" i="3"/>
  <c r="EO21" i="3"/>
  <c r="EM21" i="3"/>
  <c r="EK21" i="3"/>
  <c r="EJ21" i="3"/>
  <c r="EI21" i="3"/>
  <c r="DZ21" i="3"/>
  <c r="DY21" i="3"/>
  <c r="DX21" i="3"/>
  <c r="DW21" i="3"/>
  <c r="DV21" i="3"/>
  <c r="DU21" i="3"/>
  <c r="DT21" i="3"/>
  <c r="DP21" i="3"/>
  <c r="EC21" i="3" s="1"/>
  <c r="DO21" i="3"/>
  <c r="EB21" i="3" s="1"/>
  <c r="DN21" i="3"/>
  <c r="DQ21" i="3" s="1"/>
  <c r="DR21" i="3" s="1"/>
  <c r="DM21" i="3"/>
  <c r="EY20" i="3"/>
  <c r="EX20" i="3"/>
  <c r="EQ20" i="3"/>
  <c r="EO20" i="3"/>
  <c r="EM20" i="3"/>
  <c r="ES20" i="3" s="1"/>
  <c r="EJ20" i="3"/>
  <c r="EI20" i="3"/>
  <c r="EK20" i="3" s="1"/>
  <c r="EC20" i="3"/>
  <c r="DZ20" i="3"/>
  <c r="DY20" i="3"/>
  <c r="DX20" i="3"/>
  <c r="DW20" i="3"/>
  <c r="DV20" i="3"/>
  <c r="DU20" i="3"/>
  <c r="DT20" i="3"/>
  <c r="DP20" i="3"/>
  <c r="DN20" i="3"/>
  <c r="DQ20" i="3" s="1"/>
  <c r="EA20" i="3" s="1"/>
  <c r="DM20" i="3"/>
  <c r="BG20" i="3"/>
  <c r="DO20" i="3" s="1"/>
  <c r="EB20" i="3" s="1"/>
  <c r="EY19" i="3"/>
  <c r="ES19" i="3"/>
  <c r="EQ19" i="3"/>
  <c r="EO19" i="3"/>
  <c r="EM19" i="3"/>
  <c r="EK19" i="3"/>
  <c r="EJ19" i="3"/>
  <c r="EI19" i="3"/>
  <c r="DZ19" i="3"/>
  <c r="DY19" i="3"/>
  <c r="DX19" i="3"/>
  <c r="DW19" i="3"/>
  <c r="DV19" i="3"/>
  <c r="DU19" i="3"/>
  <c r="DT19" i="3"/>
  <c r="DP19" i="3"/>
  <c r="EC19" i="3" s="1"/>
  <c r="DN19" i="3"/>
  <c r="DM19" i="3"/>
  <c r="BG19" i="3"/>
  <c r="DO19" i="3" s="1"/>
  <c r="EB19" i="3" s="1"/>
  <c r="EY18" i="3"/>
  <c r="ES18" i="3"/>
  <c r="EQ18" i="3"/>
  <c r="EO18" i="3"/>
  <c r="EM18" i="3"/>
  <c r="EK18" i="3"/>
  <c r="EJ18" i="3"/>
  <c r="EI18" i="3"/>
  <c r="DZ18" i="3"/>
  <c r="DY18" i="3"/>
  <c r="DX18" i="3"/>
  <c r="DW18" i="3"/>
  <c r="DV18" i="3"/>
  <c r="DU18" i="3"/>
  <c r="DT18" i="3"/>
  <c r="DP18" i="3"/>
  <c r="EC18" i="3" s="1"/>
  <c r="DO18" i="3"/>
  <c r="EB18" i="3" s="1"/>
  <c r="DN18" i="3"/>
  <c r="DQ18" i="3" s="1"/>
  <c r="DR18" i="3" s="1"/>
  <c r="DM18" i="3"/>
  <c r="BG18" i="3"/>
  <c r="EX18" i="3" s="1"/>
  <c r="EY17" i="3"/>
  <c r="EX17" i="3"/>
  <c r="EQ17" i="3"/>
  <c r="EO17" i="3"/>
  <c r="EM17" i="3"/>
  <c r="ES17" i="3" s="1"/>
  <c r="EJ17" i="3"/>
  <c r="EI17" i="3"/>
  <c r="EK17" i="3" s="1"/>
  <c r="EE17" i="3"/>
  <c r="EC17" i="3"/>
  <c r="DZ17" i="3"/>
  <c r="DY17" i="3"/>
  <c r="DX17" i="3"/>
  <c r="DW17" i="3"/>
  <c r="DV17" i="3"/>
  <c r="DU17" i="3"/>
  <c r="DT17" i="3"/>
  <c r="DP17" i="3"/>
  <c r="DO17" i="3"/>
  <c r="EB17" i="3" s="1"/>
  <c r="DN17" i="3"/>
  <c r="DQ17" i="3" s="1"/>
  <c r="EA17" i="3" s="1"/>
  <c r="DS17" i="3" s="1"/>
  <c r="DM17" i="3"/>
  <c r="EY16" i="3"/>
  <c r="ES16" i="3"/>
  <c r="EQ16" i="3"/>
  <c r="EO16" i="3"/>
  <c r="EM16" i="3"/>
  <c r="EK16" i="3"/>
  <c r="EJ16" i="3"/>
  <c r="EI16" i="3"/>
  <c r="EB16" i="3"/>
  <c r="DZ16" i="3"/>
  <c r="DY16" i="3"/>
  <c r="DX16" i="3"/>
  <c r="DW16" i="3"/>
  <c r="DV16" i="3"/>
  <c r="DU16" i="3"/>
  <c r="DT16" i="3"/>
  <c r="DP16" i="3"/>
  <c r="EC16" i="3" s="1"/>
  <c r="DN16" i="3"/>
  <c r="DM16" i="3"/>
  <c r="BG16" i="3"/>
  <c r="DO16" i="3" s="1"/>
  <c r="Z16" i="3"/>
  <c r="Z120" i="3" s="1"/>
  <c r="Z122" i="3" s="1"/>
  <c r="EY15" i="3"/>
  <c r="EX15" i="3"/>
  <c r="EQ15" i="3"/>
  <c r="EO15" i="3"/>
  <c r="EM15" i="3"/>
  <c r="ES15" i="3" s="1"/>
  <c r="EK15" i="3"/>
  <c r="EJ15" i="3"/>
  <c r="EI15" i="3"/>
  <c r="EC15" i="3"/>
  <c r="EB15" i="3"/>
  <c r="DZ15" i="3"/>
  <c r="DY15" i="3"/>
  <c r="DX15" i="3"/>
  <c r="DW15" i="3"/>
  <c r="DV15" i="3"/>
  <c r="DU15" i="3"/>
  <c r="DT15" i="3"/>
  <c r="DP15" i="3"/>
  <c r="DO15" i="3"/>
  <c r="DN15" i="3"/>
  <c r="DQ15" i="3" s="1"/>
  <c r="DM15" i="3"/>
  <c r="EY14" i="3"/>
  <c r="EQ14" i="3"/>
  <c r="EO14" i="3"/>
  <c r="EM14" i="3"/>
  <c r="ES14" i="3" s="1"/>
  <c r="EK14" i="3"/>
  <c r="EJ14" i="3"/>
  <c r="EI14" i="3"/>
  <c r="EB14" i="3"/>
  <c r="DZ14" i="3"/>
  <c r="DY14" i="3"/>
  <c r="DX14" i="3"/>
  <c r="DW14" i="3"/>
  <c r="DV14" i="3"/>
  <c r="DU14" i="3"/>
  <c r="DT14" i="3"/>
  <c r="DP14" i="3"/>
  <c r="EC14" i="3" s="1"/>
  <c r="DO14" i="3"/>
  <c r="DN14" i="3"/>
  <c r="DM14" i="3"/>
  <c r="BG14" i="3"/>
  <c r="EX14" i="3" s="1"/>
  <c r="EY13" i="3"/>
  <c r="EX13" i="3"/>
  <c r="EQ13" i="3"/>
  <c r="EO13" i="3"/>
  <c r="EM13" i="3"/>
  <c r="ES13" i="3" s="1"/>
  <c r="EJ13" i="3"/>
  <c r="EI13" i="3"/>
  <c r="EK13" i="3" s="1"/>
  <c r="EC13" i="3"/>
  <c r="DZ13" i="3"/>
  <c r="DY13" i="3"/>
  <c r="DX13" i="3"/>
  <c r="DW13" i="3"/>
  <c r="DV13" i="3"/>
  <c r="DU13" i="3"/>
  <c r="DT13" i="3"/>
  <c r="DP13" i="3"/>
  <c r="DO13" i="3"/>
  <c r="EB13" i="3" s="1"/>
  <c r="DN13" i="3"/>
  <c r="DQ13" i="3" s="1"/>
  <c r="DR13" i="3" s="1"/>
  <c r="DM13" i="3"/>
  <c r="EY12" i="3"/>
  <c r="EX12" i="3"/>
  <c r="ES12" i="3"/>
  <c r="EQ12" i="3"/>
  <c r="EO12" i="3"/>
  <c r="EM12" i="3"/>
  <c r="EK12" i="3"/>
  <c r="EJ12" i="3"/>
  <c r="EI12" i="3"/>
  <c r="EB12" i="3"/>
  <c r="DZ12" i="3"/>
  <c r="DY12" i="3"/>
  <c r="DX12" i="3"/>
  <c r="DW12" i="3"/>
  <c r="DV12" i="3"/>
  <c r="DU12" i="3"/>
  <c r="DT12" i="3"/>
  <c r="DP12" i="3"/>
  <c r="EC12" i="3" s="1"/>
  <c r="DO12" i="3"/>
  <c r="DN12" i="3"/>
  <c r="DM12" i="3"/>
  <c r="EY11" i="3"/>
  <c r="EQ11" i="3"/>
  <c r="EO11" i="3"/>
  <c r="EM11" i="3"/>
  <c r="ES11" i="3" s="1"/>
  <c r="EJ11" i="3"/>
  <c r="EI11" i="3"/>
  <c r="EK11" i="3" s="1"/>
  <c r="EC11" i="3"/>
  <c r="DZ11" i="3"/>
  <c r="DY11" i="3"/>
  <c r="DX11" i="3"/>
  <c r="DW11" i="3"/>
  <c r="DV11" i="3"/>
  <c r="DU11" i="3"/>
  <c r="DT11" i="3"/>
  <c r="DP11" i="3"/>
  <c r="DO11" i="3"/>
  <c r="EB11" i="3" s="1"/>
  <c r="DN11" i="3"/>
  <c r="DQ11" i="3" s="1"/>
  <c r="EA11" i="3" s="1"/>
  <c r="DS11" i="3" s="1"/>
  <c r="DM11" i="3"/>
  <c r="BG11" i="3"/>
  <c r="EX11" i="3" s="1"/>
  <c r="EY10" i="3"/>
  <c r="EX10" i="3"/>
  <c r="EQ10" i="3"/>
  <c r="EO10" i="3"/>
  <c r="EM10" i="3"/>
  <c r="ES10" i="3" s="1"/>
  <c r="EK10" i="3"/>
  <c r="EJ10" i="3"/>
  <c r="EI10" i="3"/>
  <c r="EC10" i="3"/>
  <c r="DZ10" i="3"/>
  <c r="DY10" i="3"/>
  <c r="DX10" i="3"/>
  <c r="DW10" i="3"/>
  <c r="DV10" i="3"/>
  <c r="DU10" i="3"/>
  <c r="DT10" i="3"/>
  <c r="DP10" i="3"/>
  <c r="DN10" i="3"/>
  <c r="DQ10" i="3" s="1"/>
  <c r="DM10" i="3"/>
  <c r="BG10" i="3"/>
  <c r="DO10" i="3" s="1"/>
  <c r="EB10" i="3" s="1"/>
  <c r="EY9" i="3"/>
  <c r="ES9" i="3"/>
  <c r="EQ9" i="3"/>
  <c r="EO9" i="3"/>
  <c r="EM9" i="3"/>
  <c r="EK9" i="3"/>
  <c r="EJ9" i="3"/>
  <c r="DZ9" i="3"/>
  <c r="DY9" i="3"/>
  <c r="DX9" i="3"/>
  <c r="DW9" i="3"/>
  <c r="DV9" i="3"/>
  <c r="DU9" i="3"/>
  <c r="DT9" i="3"/>
  <c r="DO9" i="3"/>
  <c r="EB9" i="3" s="1"/>
  <c r="DN9" i="3"/>
  <c r="DM9" i="3"/>
  <c r="AV9" i="3"/>
  <c r="EY8" i="3"/>
  <c r="EX8" i="3"/>
  <c r="ES8" i="3"/>
  <c r="EQ8" i="3"/>
  <c r="EO8" i="3"/>
  <c r="EM8" i="3"/>
  <c r="EJ8" i="3"/>
  <c r="EI8" i="3"/>
  <c r="EK8" i="3" s="1"/>
  <c r="DZ8" i="3"/>
  <c r="DY8" i="3"/>
  <c r="DX8" i="3"/>
  <c r="DW8" i="3"/>
  <c r="DV8" i="3"/>
  <c r="DU8" i="3"/>
  <c r="DT8" i="3"/>
  <c r="DR8" i="3"/>
  <c r="DP8" i="3"/>
  <c r="EC8" i="3" s="1"/>
  <c r="DO8" i="3"/>
  <c r="EB8" i="3" s="1"/>
  <c r="DN8" i="3"/>
  <c r="DQ8" i="3" s="1"/>
  <c r="EA8" i="3" s="1"/>
  <c r="DS8" i="3" s="1"/>
  <c r="DM8" i="3"/>
  <c r="BG8" i="3"/>
  <c r="EY7" i="3"/>
  <c r="EX7" i="3"/>
  <c r="EQ7" i="3"/>
  <c r="EO7" i="3"/>
  <c r="EM7" i="3"/>
  <c r="ES7" i="3" s="1"/>
  <c r="EJ7" i="3"/>
  <c r="EI7" i="3"/>
  <c r="EK7" i="3" s="1"/>
  <c r="DZ7" i="3"/>
  <c r="DY7" i="3"/>
  <c r="DX7" i="3"/>
  <c r="DW7" i="3"/>
  <c r="DV7" i="3"/>
  <c r="DU7" i="3"/>
  <c r="DT7" i="3"/>
  <c r="DP7" i="3"/>
  <c r="EC7" i="3" s="1"/>
  <c r="DO7" i="3"/>
  <c r="EB7" i="3" s="1"/>
  <c r="DN7" i="3"/>
  <c r="DQ7" i="3" s="1"/>
  <c r="EA7" i="3" s="1"/>
  <c r="DM7" i="3"/>
  <c r="EY6" i="3"/>
  <c r="EQ6" i="3"/>
  <c r="EO6" i="3"/>
  <c r="EM6" i="3"/>
  <c r="ES6" i="3" s="1"/>
  <c r="EK6" i="3"/>
  <c r="EJ6" i="3"/>
  <c r="EI6" i="3"/>
  <c r="EB6" i="3"/>
  <c r="DZ6" i="3"/>
  <c r="DY6" i="3"/>
  <c r="DX6" i="3"/>
  <c r="DW6" i="3"/>
  <c r="DV6" i="3"/>
  <c r="DU6" i="3"/>
  <c r="DT6" i="3"/>
  <c r="DP6" i="3"/>
  <c r="EC6" i="3" s="1"/>
  <c r="DO6" i="3"/>
  <c r="DN6" i="3"/>
  <c r="DM6" i="3"/>
  <c r="AW6" i="3"/>
  <c r="EX6" i="3" s="1"/>
  <c r="AV6" i="3"/>
  <c r="P6" i="3"/>
  <c r="EY5" i="3"/>
  <c r="EQ5" i="3"/>
  <c r="EO5" i="3"/>
  <c r="EM5" i="3"/>
  <c r="ES5" i="3" s="1"/>
  <c r="EK5" i="3"/>
  <c r="EJ5" i="3"/>
  <c r="EI5" i="3"/>
  <c r="EB5" i="3"/>
  <c r="DZ5" i="3"/>
  <c r="DY5" i="3"/>
  <c r="DX5" i="3"/>
  <c r="DW5" i="3"/>
  <c r="DV5" i="3"/>
  <c r="DU5" i="3"/>
  <c r="DT5" i="3"/>
  <c r="DO5" i="3"/>
  <c r="DN5" i="3"/>
  <c r="DM5" i="3"/>
  <c r="AV5" i="3"/>
  <c r="AV120" i="3" s="1"/>
  <c r="AV122" i="3" s="1"/>
  <c r="P5" i="3"/>
  <c r="P120" i="3" s="1"/>
  <c r="P122" i="3" s="1"/>
  <c r="EY4" i="3"/>
  <c r="EX4" i="3"/>
  <c r="EQ4" i="3"/>
  <c r="EO4" i="3"/>
  <c r="EM4" i="3"/>
  <c r="ES4" i="3" s="1"/>
  <c r="EK4" i="3"/>
  <c r="EJ4" i="3"/>
  <c r="EI4" i="3"/>
  <c r="EC4" i="3"/>
  <c r="EB4" i="3"/>
  <c r="DZ4" i="3"/>
  <c r="DY4" i="3"/>
  <c r="DX4" i="3"/>
  <c r="DW4" i="3"/>
  <c r="DV4" i="3"/>
  <c r="DU4" i="3"/>
  <c r="DT4" i="3"/>
  <c r="DP4" i="3"/>
  <c r="DO4" i="3"/>
  <c r="DN4" i="3"/>
  <c r="DQ4" i="3" s="1"/>
  <c r="DM4" i="3"/>
  <c r="EY3" i="3"/>
  <c r="EQ3" i="3"/>
  <c r="EO3" i="3"/>
  <c r="EM3" i="3"/>
  <c r="ES3" i="3" s="1"/>
  <c r="EJ3" i="3"/>
  <c r="EI3" i="3"/>
  <c r="EI120" i="3" s="1"/>
  <c r="EK120" i="3" s="1"/>
  <c r="EC3" i="3"/>
  <c r="DZ3" i="3"/>
  <c r="DY3" i="3"/>
  <c r="DX3" i="3"/>
  <c r="DW3" i="3"/>
  <c r="DW120" i="3" s="1"/>
  <c r="DV3" i="3"/>
  <c r="DU3" i="3"/>
  <c r="DT3" i="3"/>
  <c r="DP3" i="3"/>
  <c r="DN3" i="3"/>
  <c r="DM3" i="3"/>
  <c r="BG3" i="3"/>
  <c r="DO3" i="3" s="1"/>
  <c r="J125" i="2"/>
  <c r="DN119" i="2"/>
  <c r="DM119" i="2"/>
  <c r="DL119" i="2"/>
  <c r="DK119" i="2"/>
  <c r="DJ119" i="2"/>
  <c r="DI119" i="2"/>
  <c r="DG119" i="2"/>
  <c r="DF119" i="2"/>
  <c r="DE119" i="2"/>
  <c r="DE121" i="2" s="1"/>
  <c r="DD119" i="2"/>
  <c r="DC119" i="2"/>
  <c r="DB119" i="2"/>
  <c r="DA119" i="2"/>
  <c r="CZ119" i="2"/>
  <c r="CX119" i="2"/>
  <c r="CU119" i="2"/>
  <c r="CT119" i="2"/>
  <c r="CS119" i="2"/>
  <c r="CR119" i="2"/>
  <c r="CP119" i="2"/>
  <c r="CO119" i="2"/>
  <c r="CN119" i="2"/>
  <c r="CM119" i="2"/>
  <c r="CD119" i="2"/>
  <c r="CA119" i="2"/>
  <c r="BZ119" i="2"/>
  <c r="BY119" i="2"/>
  <c r="BX119" i="2"/>
  <c r="BP119" i="2"/>
  <c r="BO119" i="2"/>
  <c r="BN119" i="2"/>
  <c r="BK119" i="2"/>
  <c r="G119" i="2"/>
  <c r="E119" i="2"/>
  <c r="DH118" i="2"/>
  <c r="CY118" i="2"/>
  <c r="CW118" i="2"/>
  <c r="CV118" i="2"/>
  <c r="CQ118" i="2"/>
  <c r="CL118" i="2"/>
  <c r="CK118" i="2"/>
  <c r="CJ118" i="2"/>
  <c r="CI118" i="2"/>
  <c r="CH118" i="2"/>
  <c r="CG118" i="2"/>
  <c r="CF118" i="2"/>
  <c r="CE118" i="2"/>
  <c r="CC118" i="2"/>
  <c r="CB118" i="2"/>
  <c r="BW118" i="2"/>
  <c r="BV118" i="2"/>
  <c r="BU118" i="2"/>
  <c r="BT118" i="2"/>
  <c r="BS118" i="2"/>
  <c r="BR118" i="2"/>
  <c r="BQ118" i="2"/>
  <c r="BJ118" i="2"/>
  <c r="BI118" i="2"/>
  <c r="BH118" i="2"/>
  <c r="BG118" i="2"/>
  <c r="BF118" i="2"/>
  <c r="BE118" i="2"/>
  <c r="BD118" i="2"/>
  <c r="BC118" i="2"/>
  <c r="BB118" i="2"/>
  <c r="DS118" i="2" s="1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F118" i="2"/>
  <c r="DH117" i="2"/>
  <c r="CY117" i="2"/>
  <c r="CW117" i="2"/>
  <c r="CV117" i="2"/>
  <c r="CQ117" i="2"/>
  <c r="CL117" i="2"/>
  <c r="CK117" i="2"/>
  <c r="CJ117" i="2"/>
  <c r="CI117" i="2"/>
  <c r="CH117" i="2"/>
  <c r="CG117" i="2"/>
  <c r="CF117" i="2"/>
  <c r="CE117" i="2"/>
  <c r="CC117" i="2"/>
  <c r="CB117" i="2"/>
  <c r="BW117" i="2"/>
  <c r="BV117" i="2"/>
  <c r="BU117" i="2"/>
  <c r="BT117" i="2"/>
  <c r="BS117" i="2"/>
  <c r="BR117" i="2"/>
  <c r="BQ117" i="2"/>
  <c r="BJ117" i="2"/>
  <c r="BI117" i="2"/>
  <c r="BH117" i="2"/>
  <c r="BG117" i="2"/>
  <c r="BF117" i="2"/>
  <c r="BE117" i="2"/>
  <c r="BD117" i="2"/>
  <c r="BC117" i="2"/>
  <c r="BB117" i="2"/>
  <c r="DS117" i="2" s="1"/>
  <c r="BA117" i="2"/>
  <c r="AZ117" i="2"/>
  <c r="AY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F117" i="2"/>
  <c r="DH116" i="2"/>
  <c r="CY116" i="2"/>
  <c r="CW116" i="2"/>
  <c r="CV116" i="2"/>
  <c r="CQ116" i="2"/>
  <c r="CL116" i="2"/>
  <c r="CK116" i="2"/>
  <c r="CJ116" i="2"/>
  <c r="CI116" i="2"/>
  <c r="CH116" i="2"/>
  <c r="CG116" i="2"/>
  <c r="CF116" i="2"/>
  <c r="CE116" i="2"/>
  <c r="CC116" i="2"/>
  <c r="CB116" i="2"/>
  <c r="BW116" i="2"/>
  <c r="BV116" i="2"/>
  <c r="BU116" i="2"/>
  <c r="BT116" i="2"/>
  <c r="BS116" i="2"/>
  <c r="BR116" i="2"/>
  <c r="BQ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F116" i="2"/>
  <c r="DH115" i="2"/>
  <c r="CY115" i="2"/>
  <c r="CW115" i="2"/>
  <c r="CV115" i="2"/>
  <c r="CQ115" i="2"/>
  <c r="CL115" i="2"/>
  <c r="CK115" i="2"/>
  <c r="CJ115" i="2"/>
  <c r="CI115" i="2"/>
  <c r="CH115" i="2"/>
  <c r="CG115" i="2"/>
  <c r="CF115" i="2"/>
  <c r="CE115" i="2"/>
  <c r="CC115" i="2"/>
  <c r="CB115" i="2"/>
  <c r="BW115" i="2"/>
  <c r="BV115" i="2"/>
  <c r="BU115" i="2"/>
  <c r="BT115" i="2"/>
  <c r="BS115" i="2"/>
  <c r="BR115" i="2"/>
  <c r="BQ115" i="2"/>
  <c r="BJ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F115" i="2"/>
  <c r="DH114" i="2"/>
  <c r="CY114" i="2"/>
  <c r="CW114" i="2"/>
  <c r="CV114" i="2"/>
  <c r="CQ114" i="2"/>
  <c r="CL114" i="2"/>
  <c r="CK114" i="2"/>
  <c r="CJ114" i="2"/>
  <c r="CI114" i="2"/>
  <c r="CH114" i="2"/>
  <c r="CG114" i="2"/>
  <c r="CF114" i="2"/>
  <c r="CE114" i="2"/>
  <c r="CC114" i="2"/>
  <c r="CB114" i="2"/>
  <c r="BW114" i="2"/>
  <c r="BV114" i="2"/>
  <c r="BU114" i="2"/>
  <c r="BT114" i="2"/>
  <c r="BS114" i="2"/>
  <c r="BR114" i="2"/>
  <c r="BQ114" i="2"/>
  <c r="BJ114" i="2"/>
  <c r="BG114" i="2"/>
  <c r="BF114" i="2"/>
  <c r="BE114" i="2"/>
  <c r="BD114" i="2"/>
  <c r="BC114" i="2"/>
  <c r="BB114" i="2"/>
  <c r="DS114" i="2" s="1"/>
  <c r="BA114" i="2"/>
  <c r="AZ114" i="2"/>
  <c r="AY114" i="2"/>
  <c r="DR114" i="2" s="1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F114" i="2"/>
  <c r="DH113" i="2"/>
  <c r="CY113" i="2"/>
  <c r="CW113" i="2"/>
  <c r="CV113" i="2"/>
  <c r="CQ113" i="2"/>
  <c r="CL113" i="2"/>
  <c r="CK113" i="2"/>
  <c r="CJ113" i="2"/>
  <c r="CI113" i="2"/>
  <c r="CH113" i="2"/>
  <c r="CG113" i="2"/>
  <c r="CF113" i="2"/>
  <c r="CE113" i="2"/>
  <c r="CC113" i="2"/>
  <c r="CB113" i="2"/>
  <c r="BW113" i="2"/>
  <c r="BV113" i="2"/>
  <c r="BU113" i="2"/>
  <c r="BT113" i="2"/>
  <c r="BS113" i="2"/>
  <c r="BR113" i="2"/>
  <c r="BQ113" i="2"/>
  <c r="BJ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F113" i="2"/>
  <c r="DH112" i="2"/>
  <c r="CY112" i="2"/>
  <c r="CW112" i="2"/>
  <c r="CV112" i="2"/>
  <c r="CQ112" i="2"/>
  <c r="CL112" i="2"/>
  <c r="CK112" i="2"/>
  <c r="CJ112" i="2"/>
  <c r="CI112" i="2"/>
  <c r="CH112" i="2"/>
  <c r="CG112" i="2"/>
  <c r="CF112" i="2"/>
  <c r="CE112" i="2"/>
  <c r="CC112" i="2"/>
  <c r="CB112" i="2"/>
  <c r="BW112" i="2"/>
  <c r="BV112" i="2"/>
  <c r="BU112" i="2"/>
  <c r="BT112" i="2"/>
  <c r="BS112" i="2"/>
  <c r="BR112" i="2"/>
  <c r="BQ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F112" i="2"/>
  <c r="DH111" i="2"/>
  <c r="CY111" i="2"/>
  <c r="CW111" i="2"/>
  <c r="CV111" i="2"/>
  <c r="CQ111" i="2"/>
  <c r="CL111" i="2"/>
  <c r="CK111" i="2"/>
  <c r="CJ111" i="2"/>
  <c r="CI111" i="2"/>
  <c r="CH111" i="2"/>
  <c r="CG111" i="2"/>
  <c r="CF111" i="2"/>
  <c r="CE111" i="2"/>
  <c r="CC111" i="2"/>
  <c r="CB111" i="2"/>
  <c r="BW111" i="2"/>
  <c r="BV111" i="2"/>
  <c r="BU111" i="2"/>
  <c r="BT111" i="2"/>
  <c r="BS111" i="2"/>
  <c r="BR111" i="2"/>
  <c r="BQ111" i="2"/>
  <c r="BJ111" i="2"/>
  <c r="BG111" i="2"/>
  <c r="BF111" i="2"/>
  <c r="BE111" i="2"/>
  <c r="BD111" i="2"/>
  <c r="BC111" i="2"/>
  <c r="BB111" i="2"/>
  <c r="DS111" i="2" s="1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F111" i="2"/>
  <c r="DH110" i="2"/>
  <c r="CY110" i="2"/>
  <c r="CW110" i="2"/>
  <c r="CV110" i="2"/>
  <c r="CQ110" i="2"/>
  <c r="CL110" i="2"/>
  <c r="CK110" i="2"/>
  <c r="CJ110" i="2"/>
  <c r="CI110" i="2"/>
  <c r="CH110" i="2"/>
  <c r="CG110" i="2"/>
  <c r="CF110" i="2"/>
  <c r="CE110" i="2"/>
  <c r="CC110" i="2"/>
  <c r="CB110" i="2"/>
  <c r="BW110" i="2"/>
  <c r="BV110" i="2"/>
  <c r="BU110" i="2"/>
  <c r="BT110" i="2"/>
  <c r="BS110" i="2"/>
  <c r="BR110" i="2"/>
  <c r="BQ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DH109" i="2"/>
  <c r="CY109" i="2"/>
  <c r="CW109" i="2"/>
  <c r="CV109" i="2"/>
  <c r="CQ109" i="2"/>
  <c r="CL109" i="2"/>
  <c r="CK109" i="2"/>
  <c r="CJ109" i="2"/>
  <c r="CI109" i="2"/>
  <c r="CH109" i="2"/>
  <c r="CG109" i="2"/>
  <c r="CF109" i="2"/>
  <c r="CE109" i="2"/>
  <c r="CC109" i="2"/>
  <c r="CB109" i="2"/>
  <c r="BW109" i="2"/>
  <c r="BV109" i="2"/>
  <c r="BU109" i="2"/>
  <c r="BT109" i="2"/>
  <c r="BS109" i="2"/>
  <c r="BR109" i="2"/>
  <c r="BQ109" i="2"/>
  <c r="BJ109" i="2"/>
  <c r="BG109" i="2"/>
  <c r="BF109" i="2"/>
  <c r="BE109" i="2"/>
  <c r="BD109" i="2"/>
  <c r="BC109" i="2"/>
  <c r="BB109" i="2"/>
  <c r="DS109" i="2" s="1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F109" i="2"/>
  <c r="DH108" i="2"/>
  <c r="CY108" i="2"/>
  <c r="CW108" i="2"/>
  <c r="CV108" i="2"/>
  <c r="CQ108" i="2"/>
  <c r="CL108" i="2"/>
  <c r="CK108" i="2"/>
  <c r="CJ108" i="2"/>
  <c r="CI108" i="2"/>
  <c r="CH108" i="2"/>
  <c r="CG108" i="2"/>
  <c r="CF108" i="2"/>
  <c r="CE108" i="2"/>
  <c r="CC108" i="2"/>
  <c r="CB108" i="2"/>
  <c r="BW108" i="2"/>
  <c r="BV108" i="2"/>
  <c r="BU108" i="2"/>
  <c r="BT108" i="2"/>
  <c r="BS108" i="2"/>
  <c r="BR108" i="2"/>
  <c r="BQ108" i="2"/>
  <c r="BJ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F108" i="2"/>
  <c r="DH107" i="2"/>
  <c r="CY107" i="2"/>
  <c r="CW107" i="2"/>
  <c r="CV107" i="2"/>
  <c r="CQ107" i="2"/>
  <c r="CL107" i="2"/>
  <c r="CK107" i="2"/>
  <c r="CJ107" i="2"/>
  <c r="CI107" i="2"/>
  <c r="CH107" i="2"/>
  <c r="CG107" i="2"/>
  <c r="CF107" i="2"/>
  <c r="CE107" i="2"/>
  <c r="CC107" i="2"/>
  <c r="CB107" i="2"/>
  <c r="BW107" i="2"/>
  <c r="BV107" i="2"/>
  <c r="BU107" i="2"/>
  <c r="BT107" i="2"/>
  <c r="BS107" i="2"/>
  <c r="BR107" i="2"/>
  <c r="BQ107" i="2"/>
  <c r="BJ107" i="2"/>
  <c r="BI107" i="2"/>
  <c r="BH107" i="2"/>
  <c r="BG107" i="2"/>
  <c r="BF107" i="2"/>
  <c r="BE107" i="2"/>
  <c r="BD107" i="2"/>
  <c r="BC107" i="2"/>
  <c r="BB107" i="2"/>
  <c r="DS107" i="2" s="1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F107" i="2"/>
  <c r="DH106" i="2"/>
  <c r="CY106" i="2"/>
  <c r="CW106" i="2"/>
  <c r="CV106" i="2"/>
  <c r="CQ106" i="2"/>
  <c r="CL106" i="2"/>
  <c r="CK106" i="2"/>
  <c r="CJ106" i="2"/>
  <c r="CI106" i="2"/>
  <c r="CH106" i="2"/>
  <c r="CG106" i="2"/>
  <c r="CF106" i="2"/>
  <c r="CE106" i="2"/>
  <c r="CC106" i="2"/>
  <c r="CB106" i="2"/>
  <c r="BW106" i="2"/>
  <c r="BV106" i="2"/>
  <c r="BU106" i="2"/>
  <c r="BT106" i="2"/>
  <c r="BS106" i="2"/>
  <c r="BR106" i="2"/>
  <c r="BQ106" i="2"/>
  <c r="BJ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F106" i="2"/>
  <c r="DH105" i="2"/>
  <c r="CY105" i="2"/>
  <c r="CW105" i="2"/>
  <c r="CV105" i="2"/>
  <c r="CQ105" i="2"/>
  <c r="CL105" i="2"/>
  <c r="CK105" i="2"/>
  <c r="CJ105" i="2"/>
  <c r="CI105" i="2"/>
  <c r="CH105" i="2"/>
  <c r="CG105" i="2"/>
  <c r="CF105" i="2"/>
  <c r="CE105" i="2"/>
  <c r="CC105" i="2"/>
  <c r="CB105" i="2"/>
  <c r="BW105" i="2"/>
  <c r="BV105" i="2"/>
  <c r="BU105" i="2"/>
  <c r="BT105" i="2"/>
  <c r="BS105" i="2"/>
  <c r="BR105" i="2"/>
  <c r="BQ105" i="2"/>
  <c r="BJ105" i="2"/>
  <c r="BG105" i="2"/>
  <c r="BF105" i="2"/>
  <c r="BE105" i="2"/>
  <c r="BD105" i="2"/>
  <c r="BC105" i="2"/>
  <c r="BB105" i="2"/>
  <c r="DS105" i="2" s="1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F105" i="2"/>
  <c r="DH104" i="2"/>
  <c r="CY104" i="2"/>
  <c r="CW104" i="2"/>
  <c r="CV104" i="2"/>
  <c r="CQ104" i="2"/>
  <c r="CL104" i="2"/>
  <c r="CK104" i="2"/>
  <c r="CJ104" i="2"/>
  <c r="CI104" i="2"/>
  <c r="CH104" i="2"/>
  <c r="CG104" i="2"/>
  <c r="CF104" i="2"/>
  <c r="CE104" i="2"/>
  <c r="CC104" i="2"/>
  <c r="CB104" i="2"/>
  <c r="BW104" i="2"/>
  <c r="BV104" i="2"/>
  <c r="BU104" i="2"/>
  <c r="BT104" i="2"/>
  <c r="BS104" i="2"/>
  <c r="BR104" i="2"/>
  <c r="BQ104" i="2"/>
  <c r="BJ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DH103" i="2"/>
  <c r="CY103" i="2"/>
  <c r="CW103" i="2"/>
  <c r="CV103" i="2"/>
  <c r="CQ103" i="2"/>
  <c r="CL103" i="2"/>
  <c r="CK103" i="2"/>
  <c r="CJ103" i="2"/>
  <c r="CI103" i="2"/>
  <c r="CH103" i="2"/>
  <c r="CG103" i="2"/>
  <c r="CF103" i="2"/>
  <c r="CE103" i="2"/>
  <c r="CC103" i="2"/>
  <c r="CB103" i="2"/>
  <c r="BW103" i="2"/>
  <c r="BV103" i="2"/>
  <c r="BU103" i="2"/>
  <c r="BT103" i="2"/>
  <c r="BS103" i="2"/>
  <c r="BR103" i="2"/>
  <c r="BQ103" i="2"/>
  <c r="BJ103" i="2"/>
  <c r="BG103" i="2"/>
  <c r="BF103" i="2"/>
  <c r="BE103" i="2"/>
  <c r="BD103" i="2"/>
  <c r="BC103" i="2"/>
  <c r="BB103" i="2"/>
  <c r="DS103" i="2" s="1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F103" i="2"/>
  <c r="DH102" i="2"/>
  <c r="CY102" i="2"/>
  <c r="CW102" i="2"/>
  <c r="CV102" i="2"/>
  <c r="CQ102" i="2"/>
  <c r="CL102" i="2"/>
  <c r="CK102" i="2"/>
  <c r="CJ102" i="2"/>
  <c r="CI102" i="2"/>
  <c r="CH102" i="2"/>
  <c r="CG102" i="2"/>
  <c r="CF102" i="2"/>
  <c r="CE102" i="2"/>
  <c r="CC102" i="2"/>
  <c r="CB102" i="2"/>
  <c r="BW102" i="2"/>
  <c r="BV102" i="2"/>
  <c r="BU102" i="2"/>
  <c r="BT102" i="2"/>
  <c r="BS102" i="2"/>
  <c r="BR102" i="2"/>
  <c r="BQ102" i="2"/>
  <c r="BJ102" i="2"/>
  <c r="BI102" i="2"/>
  <c r="BH102" i="2"/>
  <c r="BG102" i="2"/>
  <c r="BF102" i="2"/>
  <c r="BE102" i="2"/>
  <c r="BD102" i="2"/>
  <c r="BC102" i="2"/>
  <c r="BB102" i="2"/>
  <c r="DS102" i="2" s="1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F102" i="2"/>
  <c r="DH101" i="2"/>
  <c r="CY101" i="2"/>
  <c r="CW101" i="2"/>
  <c r="CV101" i="2"/>
  <c r="CQ101" i="2"/>
  <c r="CL101" i="2"/>
  <c r="CK101" i="2"/>
  <c r="CJ101" i="2"/>
  <c r="CI101" i="2"/>
  <c r="CH101" i="2"/>
  <c r="CG101" i="2"/>
  <c r="CF101" i="2"/>
  <c r="CE101" i="2"/>
  <c r="CC101" i="2"/>
  <c r="CB101" i="2"/>
  <c r="BW101" i="2"/>
  <c r="BV101" i="2"/>
  <c r="BU101" i="2"/>
  <c r="BT101" i="2"/>
  <c r="BS101" i="2"/>
  <c r="BR101" i="2"/>
  <c r="BQ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F101" i="2"/>
  <c r="DH100" i="2"/>
  <c r="CY100" i="2"/>
  <c r="CW100" i="2"/>
  <c r="CV100" i="2"/>
  <c r="CQ100" i="2"/>
  <c r="CL100" i="2"/>
  <c r="CK100" i="2"/>
  <c r="CJ100" i="2"/>
  <c r="CI100" i="2"/>
  <c r="CH100" i="2"/>
  <c r="CG100" i="2"/>
  <c r="CF100" i="2"/>
  <c r="CE100" i="2"/>
  <c r="CC100" i="2"/>
  <c r="CB100" i="2"/>
  <c r="BW100" i="2"/>
  <c r="BV100" i="2"/>
  <c r="BU100" i="2"/>
  <c r="BT100" i="2"/>
  <c r="BS100" i="2"/>
  <c r="BR100" i="2"/>
  <c r="BQ100" i="2"/>
  <c r="BJ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DH99" i="2"/>
  <c r="CY99" i="2"/>
  <c r="CW99" i="2"/>
  <c r="CV99" i="2"/>
  <c r="CQ99" i="2"/>
  <c r="CL99" i="2"/>
  <c r="CK99" i="2"/>
  <c r="CJ99" i="2"/>
  <c r="CI99" i="2"/>
  <c r="CH99" i="2"/>
  <c r="CG99" i="2"/>
  <c r="CF99" i="2"/>
  <c r="CE99" i="2"/>
  <c r="CC99" i="2"/>
  <c r="CB99" i="2"/>
  <c r="BW99" i="2"/>
  <c r="BV99" i="2"/>
  <c r="BU99" i="2"/>
  <c r="BT99" i="2"/>
  <c r="BS99" i="2"/>
  <c r="BR99" i="2"/>
  <c r="BQ99" i="2"/>
  <c r="BJ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DH98" i="2"/>
  <c r="CY98" i="2"/>
  <c r="CW98" i="2"/>
  <c r="CV98" i="2"/>
  <c r="CQ98" i="2"/>
  <c r="CL98" i="2"/>
  <c r="CK98" i="2"/>
  <c r="CJ98" i="2"/>
  <c r="CI98" i="2"/>
  <c r="CH98" i="2"/>
  <c r="CG98" i="2"/>
  <c r="CF98" i="2"/>
  <c r="CE98" i="2"/>
  <c r="CC98" i="2"/>
  <c r="CB98" i="2"/>
  <c r="BW98" i="2"/>
  <c r="BV98" i="2"/>
  <c r="BU98" i="2"/>
  <c r="BT98" i="2"/>
  <c r="BS98" i="2"/>
  <c r="BR98" i="2"/>
  <c r="BQ98" i="2"/>
  <c r="BJ98" i="2"/>
  <c r="BI98" i="2"/>
  <c r="BH98" i="2"/>
  <c r="BG98" i="2"/>
  <c r="BF98" i="2"/>
  <c r="BE98" i="2"/>
  <c r="BD98" i="2"/>
  <c r="BC98" i="2"/>
  <c r="BB98" i="2"/>
  <c r="DS98" i="2" s="1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F98" i="2"/>
  <c r="DH97" i="2"/>
  <c r="CY97" i="2"/>
  <c r="CW97" i="2"/>
  <c r="CV97" i="2"/>
  <c r="CQ97" i="2"/>
  <c r="CL97" i="2"/>
  <c r="CK97" i="2"/>
  <c r="CJ97" i="2"/>
  <c r="CI97" i="2"/>
  <c r="CH97" i="2"/>
  <c r="CG97" i="2"/>
  <c r="CF97" i="2"/>
  <c r="CE97" i="2"/>
  <c r="CC97" i="2"/>
  <c r="CB97" i="2"/>
  <c r="BW97" i="2"/>
  <c r="BV97" i="2"/>
  <c r="BU97" i="2"/>
  <c r="BT97" i="2"/>
  <c r="BS97" i="2"/>
  <c r="BR97" i="2"/>
  <c r="BQ97" i="2"/>
  <c r="BJ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F97" i="2"/>
  <c r="DH96" i="2"/>
  <c r="CY96" i="2"/>
  <c r="CW96" i="2"/>
  <c r="CV96" i="2"/>
  <c r="CQ96" i="2"/>
  <c r="CL96" i="2"/>
  <c r="CK96" i="2"/>
  <c r="CJ96" i="2"/>
  <c r="CI96" i="2"/>
  <c r="CH96" i="2"/>
  <c r="CG96" i="2"/>
  <c r="CF96" i="2"/>
  <c r="CE96" i="2"/>
  <c r="CC96" i="2"/>
  <c r="CB96" i="2"/>
  <c r="BW96" i="2"/>
  <c r="BV96" i="2"/>
  <c r="BU96" i="2"/>
  <c r="BT96" i="2"/>
  <c r="BS96" i="2"/>
  <c r="BR96" i="2"/>
  <c r="BQ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F96" i="2"/>
  <c r="DH95" i="2"/>
  <c r="CY95" i="2"/>
  <c r="CW95" i="2"/>
  <c r="CV95" i="2"/>
  <c r="CQ95" i="2"/>
  <c r="CL95" i="2"/>
  <c r="CK95" i="2"/>
  <c r="CJ95" i="2"/>
  <c r="CI95" i="2"/>
  <c r="CH95" i="2"/>
  <c r="CG95" i="2"/>
  <c r="CF95" i="2"/>
  <c r="CE95" i="2"/>
  <c r="CC95" i="2"/>
  <c r="CB95" i="2"/>
  <c r="BW95" i="2"/>
  <c r="BV95" i="2"/>
  <c r="BU95" i="2"/>
  <c r="BT95" i="2"/>
  <c r="BS95" i="2"/>
  <c r="BR95" i="2"/>
  <c r="BQ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F95" i="2"/>
  <c r="DH94" i="2"/>
  <c r="CY94" i="2"/>
  <c r="CW94" i="2"/>
  <c r="CV94" i="2"/>
  <c r="CQ94" i="2"/>
  <c r="CL94" i="2"/>
  <c r="CK94" i="2"/>
  <c r="CJ94" i="2"/>
  <c r="CI94" i="2"/>
  <c r="CH94" i="2"/>
  <c r="CG94" i="2"/>
  <c r="CF94" i="2"/>
  <c r="CE94" i="2"/>
  <c r="CC94" i="2"/>
  <c r="CB94" i="2"/>
  <c r="BW94" i="2"/>
  <c r="BV94" i="2"/>
  <c r="BU94" i="2"/>
  <c r="BT94" i="2"/>
  <c r="BS94" i="2"/>
  <c r="BR94" i="2"/>
  <c r="BQ94" i="2"/>
  <c r="BJ94" i="2"/>
  <c r="BG94" i="2"/>
  <c r="BF94" i="2"/>
  <c r="BE94" i="2"/>
  <c r="BD94" i="2"/>
  <c r="BC94" i="2"/>
  <c r="BB94" i="2"/>
  <c r="DS94" i="2" s="1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DH93" i="2"/>
  <c r="CY93" i="2"/>
  <c r="CW93" i="2"/>
  <c r="CV93" i="2"/>
  <c r="CQ93" i="2"/>
  <c r="CL93" i="2"/>
  <c r="CK93" i="2"/>
  <c r="CJ93" i="2"/>
  <c r="CI93" i="2"/>
  <c r="CH93" i="2"/>
  <c r="CG93" i="2"/>
  <c r="CF93" i="2"/>
  <c r="CE93" i="2"/>
  <c r="CC93" i="2"/>
  <c r="CB93" i="2"/>
  <c r="BW93" i="2"/>
  <c r="BV93" i="2"/>
  <c r="BU93" i="2"/>
  <c r="BT93" i="2"/>
  <c r="BS93" i="2"/>
  <c r="BR93" i="2"/>
  <c r="BQ93" i="2"/>
  <c r="BJ93" i="2"/>
  <c r="BI93" i="2"/>
  <c r="BH93" i="2"/>
  <c r="BG93" i="2"/>
  <c r="BF93" i="2"/>
  <c r="BE93" i="2"/>
  <c r="BD93" i="2"/>
  <c r="BC93" i="2"/>
  <c r="BB93" i="2"/>
  <c r="DS93" i="2" s="1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F93" i="2"/>
  <c r="DH92" i="2"/>
  <c r="CY92" i="2"/>
  <c r="CW92" i="2"/>
  <c r="CV92" i="2"/>
  <c r="CQ92" i="2"/>
  <c r="CL92" i="2"/>
  <c r="CK92" i="2"/>
  <c r="CJ92" i="2"/>
  <c r="CI92" i="2"/>
  <c r="CH92" i="2"/>
  <c r="CG92" i="2"/>
  <c r="CF92" i="2"/>
  <c r="CE92" i="2"/>
  <c r="CC92" i="2"/>
  <c r="CB92" i="2"/>
  <c r="BW92" i="2"/>
  <c r="BV92" i="2"/>
  <c r="BU92" i="2"/>
  <c r="BT92" i="2"/>
  <c r="BS92" i="2"/>
  <c r="BR92" i="2"/>
  <c r="BQ92" i="2"/>
  <c r="BJ92" i="2"/>
  <c r="BI92" i="2"/>
  <c r="BH92" i="2"/>
  <c r="BG92" i="2"/>
  <c r="BF92" i="2"/>
  <c r="BE92" i="2"/>
  <c r="BD92" i="2"/>
  <c r="BC92" i="2"/>
  <c r="BB92" i="2"/>
  <c r="BA92" i="2"/>
  <c r="AZ92" i="2"/>
  <c r="DR92" i="2" s="1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F92" i="2"/>
  <c r="DH91" i="2"/>
  <c r="CY91" i="2"/>
  <c r="CW91" i="2"/>
  <c r="CV91" i="2"/>
  <c r="CQ91" i="2"/>
  <c r="CL91" i="2"/>
  <c r="CK91" i="2"/>
  <c r="CJ91" i="2"/>
  <c r="CI91" i="2"/>
  <c r="CH91" i="2"/>
  <c r="CG91" i="2"/>
  <c r="CF91" i="2"/>
  <c r="CE91" i="2"/>
  <c r="CC91" i="2"/>
  <c r="CB91" i="2"/>
  <c r="BW91" i="2"/>
  <c r="BV91" i="2"/>
  <c r="BU91" i="2"/>
  <c r="BT91" i="2"/>
  <c r="BS91" i="2"/>
  <c r="BR91" i="2"/>
  <c r="BQ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F91" i="2"/>
  <c r="DH90" i="2"/>
  <c r="CY90" i="2"/>
  <c r="CW90" i="2"/>
  <c r="CV90" i="2"/>
  <c r="CQ90" i="2"/>
  <c r="CL90" i="2"/>
  <c r="CK90" i="2"/>
  <c r="CJ90" i="2"/>
  <c r="CI90" i="2"/>
  <c r="CH90" i="2"/>
  <c r="CG90" i="2"/>
  <c r="CF90" i="2"/>
  <c r="CE90" i="2"/>
  <c r="CC90" i="2"/>
  <c r="CB90" i="2"/>
  <c r="BW90" i="2"/>
  <c r="BV90" i="2"/>
  <c r="BU90" i="2"/>
  <c r="BT90" i="2"/>
  <c r="BS90" i="2"/>
  <c r="BR90" i="2"/>
  <c r="BQ90" i="2"/>
  <c r="BJ90" i="2"/>
  <c r="BG90" i="2"/>
  <c r="BF90" i="2"/>
  <c r="BE90" i="2"/>
  <c r="BD90" i="2"/>
  <c r="BC90" i="2"/>
  <c r="BB90" i="2"/>
  <c r="DS90" i="2" s="1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F90" i="2"/>
  <c r="DH89" i="2"/>
  <c r="CY89" i="2"/>
  <c r="CW89" i="2"/>
  <c r="CV89" i="2"/>
  <c r="CQ89" i="2"/>
  <c r="CL89" i="2"/>
  <c r="CK89" i="2"/>
  <c r="CJ89" i="2"/>
  <c r="CI89" i="2"/>
  <c r="CH89" i="2"/>
  <c r="CG89" i="2"/>
  <c r="CF89" i="2"/>
  <c r="CE89" i="2"/>
  <c r="CC89" i="2"/>
  <c r="CB89" i="2"/>
  <c r="BW89" i="2"/>
  <c r="BV89" i="2"/>
  <c r="BU89" i="2"/>
  <c r="BT89" i="2"/>
  <c r="BS89" i="2"/>
  <c r="BR89" i="2"/>
  <c r="BQ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DH88" i="2"/>
  <c r="CY88" i="2"/>
  <c r="CW88" i="2"/>
  <c r="CV88" i="2"/>
  <c r="CQ88" i="2"/>
  <c r="CL88" i="2"/>
  <c r="CK88" i="2"/>
  <c r="CJ88" i="2"/>
  <c r="CI88" i="2"/>
  <c r="CH88" i="2"/>
  <c r="CG88" i="2"/>
  <c r="CF88" i="2"/>
  <c r="CE88" i="2"/>
  <c r="CC88" i="2"/>
  <c r="CB88" i="2"/>
  <c r="BW88" i="2"/>
  <c r="BV88" i="2"/>
  <c r="BU88" i="2"/>
  <c r="BT88" i="2"/>
  <c r="BS88" i="2"/>
  <c r="BR88" i="2"/>
  <c r="BQ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F88" i="2"/>
  <c r="DH87" i="2"/>
  <c r="CY87" i="2"/>
  <c r="CW87" i="2"/>
  <c r="CV87" i="2"/>
  <c r="CQ87" i="2"/>
  <c r="CL87" i="2"/>
  <c r="CK87" i="2"/>
  <c r="CJ87" i="2"/>
  <c r="CI87" i="2"/>
  <c r="CH87" i="2"/>
  <c r="CG87" i="2"/>
  <c r="CF87" i="2"/>
  <c r="CE87" i="2"/>
  <c r="CC87" i="2"/>
  <c r="CB87" i="2"/>
  <c r="BW87" i="2"/>
  <c r="BV87" i="2"/>
  <c r="BU87" i="2"/>
  <c r="BT87" i="2"/>
  <c r="BS87" i="2"/>
  <c r="BR87" i="2"/>
  <c r="BQ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F87" i="2"/>
  <c r="DH86" i="2"/>
  <c r="CY86" i="2"/>
  <c r="CW86" i="2"/>
  <c r="CV86" i="2"/>
  <c r="CQ86" i="2"/>
  <c r="CL86" i="2"/>
  <c r="CK86" i="2"/>
  <c r="CJ86" i="2"/>
  <c r="CI86" i="2"/>
  <c r="CH86" i="2"/>
  <c r="CG86" i="2"/>
  <c r="CF86" i="2"/>
  <c r="CE86" i="2"/>
  <c r="CC86" i="2"/>
  <c r="CB86" i="2"/>
  <c r="BW86" i="2"/>
  <c r="BV86" i="2"/>
  <c r="BU86" i="2"/>
  <c r="BT86" i="2"/>
  <c r="BS86" i="2"/>
  <c r="BR86" i="2"/>
  <c r="BQ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F86" i="2"/>
  <c r="DH85" i="2"/>
  <c r="CY85" i="2"/>
  <c r="CW85" i="2"/>
  <c r="CV85" i="2"/>
  <c r="CQ85" i="2"/>
  <c r="CL85" i="2"/>
  <c r="CK85" i="2"/>
  <c r="CJ85" i="2"/>
  <c r="CI85" i="2"/>
  <c r="CH85" i="2"/>
  <c r="CG85" i="2"/>
  <c r="CF85" i="2"/>
  <c r="CE85" i="2"/>
  <c r="CC85" i="2"/>
  <c r="CB85" i="2"/>
  <c r="BW85" i="2"/>
  <c r="BV85" i="2"/>
  <c r="BU85" i="2"/>
  <c r="BT85" i="2"/>
  <c r="BS85" i="2"/>
  <c r="BR85" i="2"/>
  <c r="BQ85" i="2"/>
  <c r="BJ85" i="2"/>
  <c r="BH85" i="2"/>
  <c r="BG85" i="2"/>
  <c r="BF85" i="2"/>
  <c r="BE85" i="2"/>
  <c r="BD85" i="2"/>
  <c r="BC85" i="2"/>
  <c r="BB85" i="2"/>
  <c r="DS85" i="2" s="1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F85" i="2"/>
  <c r="DH84" i="2"/>
  <c r="CY84" i="2"/>
  <c r="CW84" i="2"/>
  <c r="CV84" i="2"/>
  <c r="CQ84" i="2"/>
  <c r="CL84" i="2"/>
  <c r="CK84" i="2"/>
  <c r="CJ84" i="2"/>
  <c r="CI84" i="2"/>
  <c r="CH84" i="2"/>
  <c r="CG84" i="2"/>
  <c r="CF84" i="2"/>
  <c r="CE84" i="2"/>
  <c r="CC84" i="2"/>
  <c r="CB84" i="2"/>
  <c r="BW84" i="2"/>
  <c r="BV84" i="2"/>
  <c r="BU84" i="2"/>
  <c r="BT84" i="2"/>
  <c r="BS84" i="2"/>
  <c r="BR84" i="2"/>
  <c r="BQ84" i="2"/>
  <c r="BJ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F84" i="2"/>
  <c r="DH83" i="2"/>
  <c r="CY83" i="2"/>
  <c r="CW83" i="2"/>
  <c r="CV83" i="2"/>
  <c r="CQ83" i="2"/>
  <c r="CL83" i="2"/>
  <c r="CK83" i="2"/>
  <c r="CJ83" i="2"/>
  <c r="CI83" i="2"/>
  <c r="CH83" i="2"/>
  <c r="CG83" i="2"/>
  <c r="CF83" i="2"/>
  <c r="CE83" i="2"/>
  <c r="CC83" i="2"/>
  <c r="CB83" i="2"/>
  <c r="BW83" i="2"/>
  <c r="BV83" i="2"/>
  <c r="BU83" i="2"/>
  <c r="BT83" i="2"/>
  <c r="BS83" i="2"/>
  <c r="BR83" i="2"/>
  <c r="BQ83" i="2"/>
  <c r="BJ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DH82" i="2"/>
  <c r="CY82" i="2"/>
  <c r="CW82" i="2"/>
  <c r="CV82" i="2"/>
  <c r="CQ82" i="2"/>
  <c r="CL82" i="2"/>
  <c r="CK82" i="2"/>
  <c r="CJ82" i="2"/>
  <c r="CI82" i="2"/>
  <c r="CH82" i="2"/>
  <c r="CG82" i="2"/>
  <c r="CF82" i="2"/>
  <c r="CE82" i="2"/>
  <c r="CC82" i="2"/>
  <c r="CB82" i="2"/>
  <c r="BW82" i="2"/>
  <c r="BV82" i="2"/>
  <c r="BU82" i="2"/>
  <c r="BT82" i="2"/>
  <c r="BS82" i="2"/>
  <c r="BR82" i="2"/>
  <c r="BQ82" i="2"/>
  <c r="BJ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F82" i="2"/>
  <c r="DH81" i="2"/>
  <c r="CY81" i="2"/>
  <c r="CW81" i="2"/>
  <c r="CV81" i="2"/>
  <c r="CQ81" i="2"/>
  <c r="CL81" i="2"/>
  <c r="CK81" i="2"/>
  <c r="CJ81" i="2"/>
  <c r="CI81" i="2"/>
  <c r="CH81" i="2"/>
  <c r="CG81" i="2"/>
  <c r="CF81" i="2"/>
  <c r="CE81" i="2"/>
  <c r="CC81" i="2"/>
  <c r="CB81" i="2"/>
  <c r="BW81" i="2"/>
  <c r="BV81" i="2"/>
  <c r="BU81" i="2"/>
  <c r="BT81" i="2"/>
  <c r="BS81" i="2"/>
  <c r="BR81" i="2"/>
  <c r="BQ81" i="2"/>
  <c r="BJ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F81" i="2"/>
  <c r="DH80" i="2"/>
  <c r="CY80" i="2"/>
  <c r="CW80" i="2"/>
  <c r="CV80" i="2"/>
  <c r="CQ80" i="2"/>
  <c r="CL80" i="2"/>
  <c r="CK80" i="2"/>
  <c r="CJ80" i="2"/>
  <c r="CI80" i="2"/>
  <c r="CH80" i="2"/>
  <c r="CG80" i="2"/>
  <c r="CF80" i="2"/>
  <c r="CE80" i="2"/>
  <c r="CC80" i="2"/>
  <c r="CB80" i="2"/>
  <c r="BW80" i="2"/>
  <c r="BV80" i="2"/>
  <c r="BU80" i="2"/>
  <c r="BT80" i="2"/>
  <c r="BS80" i="2"/>
  <c r="BR80" i="2"/>
  <c r="BQ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F80" i="2"/>
  <c r="DH79" i="2"/>
  <c r="CY79" i="2"/>
  <c r="CW79" i="2"/>
  <c r="CV79" i="2"/>
  <c r="CQ79" i="2"/>
  <c r="CL79" i="2"/>
  <c r="CK79" i="2"/>
  <c r="CJ79" i="2"/>
  <c r="CI79" i="2"/>
  <c r="CH79" i="2"/>
  <c r="CG79" i="2"/>
  <c r="CF79" i="2"/>
  <c r="CE79" i="2"/>
  <c r="CC79" i="2"/>
  <c r="CB79" i="2"/>
  <c r="BW79" i="2"/>
  <c r="BV79" i="2"/>
  <c r="BU79" i="2"/>
  <c r="BT79" i="2"/>
  <c r="BS79" i="2"/>
  <c r="BR79" i="2"/>
  <c r="BQ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F79" i="2"/>
  <c r="DH78" i="2"/>
  <c r="CY78" i="2"/>
  <c r="CW78" i="2"/>
  <c r="CV78" i="2"/>
  <c r="CQ78" i="2"/>
  <c r="CL78" i="2"/>
  <c r="CK78" i="2"/>
  <c r="CJ78" i="2"/>
  <c r="CI78" i="2"/>
  <c r="CH78" i="2"/>
  <c r="CG78" i="2"/>
  <c r="CF78" i="2"/>
  <c r="CE78" i="2"/>
  <c r="CC78" i="2"/>
  <c r="CB78" i="2"/>
  <c r="BW78" i="2"/>
  <c r="BV78" i="2"/>
  <c r="BU78" i="2"/>
  <c r="BT78" i="2"/>
  <c r="BS78" i="2"/>
  <c r="BR78" i="2"/>
  <c r="BQ78" i="2"/>
  <c r="BJ78" i="2"/>
  <c r="BG78" i="2"/>
  <c r="BF78" i="2"/>
  <c r="BE78" i="2"/>
  <c r="BD78" i="2"/>
  <c r="BC78" i="2"/>
  <c r="BB78" i="2"/>
  <c r="DS78" i="2" s="1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DO78" i="2" s="1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F78" i="2"/>
  <c r="DH77" i="2"/>
  <c r="CY77" i="2"/>
  <c r="CW77" i="2"/>
  <c r="CV77" i="2"/>
  <c r="CQ77" i="2"/>
  <c r="CL77" i="2"/>
  <c r="CK77" i="2"/>
  <c r="CJ77" i="2"/>
  <c r="CI77" i="2"/>
  <c r="CH77" i="2"/>
  <c r="CG77" i="2"/>
  <c r="CF77" i="2"/>
  <c r="CE77" i="2"/>
  <c r="CC77" i="2"/>
  <c r="CB77" i="2"/>
  <c r="BW77" i="2"/>
  <c r="BV77" i="2"/>
  <c r="BU77" i="2"/>
  <c r="BT77" i="2"/>
  <c r="BS77" i="2"/>
  <c r="BR77" i="2"/>
  <c r="BQ77" i="2"/>
  <c r="BJ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F77" i="2"/>
  <c r="DH76" i="2"/>
  <c r="CY76" i="2"/>
  <c r="CW76" i="2"/>
  <c r="CV76" i="2"/>
  <c r="CQ76" i="2"/>
  <c r="CL76" i="2"/>
  <c r="CK76" i="2"/>
  <c r="CJ76" i="2"/>
  <c r="CI76" i="2"/>
  <c r="CH76" i="2"/>
  <c r="CG76" i="2"/>
  <c r="CF76" i="2"/>
  <c r="CE76" i="2"/>
  <c r="CC76" i="2"/>
  <c r="CB76" i="2"/>
  <c r="BW76" i="2"/>
  <c r="BV76" i="2"/>
  <c r="BU76" i="2"/>
  <c r="BT76" i="2"/>
  <c r="BS76" i="2"/>
  <c r="BR76" i="2"/>
  <c r="BQ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DH75" i="2"/>
  <c r="CY75" i="2"/>
  <c r="CW75" i="2"/>
  <c r="CV75" i="2"/>
  <c r="CQ75" i="2"/>
  <c r="CL75" i="2"/>
  <c r="CK75" i="2"/>
  <c r="CJ75" i="2"/>
  <c r="CI75" i="2"/>
  <c r="CH75" i="2"/>
  <c r="CG75" i="2"/>
  <c r="CF75" i="2"/>
  <c r="CE75" i="2"/>
  <c r="CC75" i="2"/>
  <c r="CB75" i="2"/>
  <c r="BW75" i="2"/>
  <c r="BV75" i="2"/>
  <c r="BU75" i="2"/>
  <c r="BT75" i="2"/>
  <c r="BS75" i="2"/>
  <c r="BR75" i="2"/>
  <c r="BQ75" i="2"/>
  <c r="BJ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F75" i="2"/>
  <c r="DH74" i="2"/>
  <c r="CY74" i="2"/>
  <c r="CW74" i="2"/>
  <c r="CV74" i="2"/>
  <c r="CQ74" i="2"/>
  <c r="CL74" i="2"/>
  <c r="CK74" i="2"/>
  <c r="CJ74" i="2"/>
  <c r="CI74" i="2"/>
  <c r="CH74" i="2"/>
  <c r="CG74" i="2"/>
  <c r="CF74" i="2"/>
  <c r="CE74" i="2"/>
  <c r="CC74" i="2"/>
  <c r="CB74" i="2"/>
  <c r="BW74" i="2"/>
  <c r="BV74" i="2"/>
  <c r="BU74" i="2"/>
  <c r="BT74" i="2"/>
  <c r="BS74" i="2"/>
  <c r="BR74" i="2"/>
  <c r="BQ74" i="2"/>
  <c r="BJ74" i="2"/>
  <c r="BG74" i="2"/>
  <c r="BF74" i="2"/>
  <c r="BE74" i="2"/>
  <c r="BD74" i="2"/>
  <c r="BC74" i="2"/>
  <c r="BB74" i="2"/>
  <c r="DS74" i="2" s="1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F74" i="2"/>
  <c r="DH73" i="2"/>
  <c r="CY73" i="2"/>
  <c r="CW73" i="2"/>
  <c r="CV73" i="2"/>
  <c r="CQ73" i="2"/>
  <c r="CL73" i="2"/>
  <c r="CK73" i="2"/>
  <c r="CJ73" i="2"/>
  <c r="CI73" i="2"/>
  <c r="CH73" i="2"/>
  <c r="CG73" i="2"/>
  <c r="CF73" i="2"/>
  <c r="CE73" i="2"/>
  <c r="CC73" i="2"/>
  <c r="CB73" i="2"/>
  <c r="BW73" i="2"/>
  <c r="BV73" i="2"/>
  <c r="BU73" i="2"/>
  <c r="BT73" i="2"/>
  <c r="BS73" i="2"/>
  <c r="BR73" i="2"/>
  <c r="BQ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F73" i="2"/>
  <c r="DH72" i="2"/>
  <c r="CY72" i="2"/>
  <c r="CW72" i="2"/>
  <c r="CV72" i="2"/>
  <c r="CQ72" i="2"/>
  <c r="CL72" i="2"/>
  <c r="CK72" i="2"/>
  <c r="CJ72" i="2"/>
  <c r="CI72" i="2"/>
  <c r="CH72" i="2"/>
  <c r="CG72" i="2"/>
  <c r="CF72" i="2"/>
  <c r="CE72" i="2"/>
  <c r="CC72" i="2"/>
  <c r="CB72" i="2"/>
  <c r="BW72" i="2"/>
  <c r="BV72" i="2"/>
  <c r="BU72" i="2"/>
  <c r="BT72" i="2"/>
  <c r="BS72" i="2"/>
  <c r="BR72" i="2"/>
  <c r="BQ72" i="2"/>
  <c r="BJ72" i="2"/>
  <c r="BI72" i="2"/>
  <c r="BH72" i="2"/>
  <c r="BG72" i="2"/>
  <c r="BF72" i="2"/>
  <c r="BE72" i="2"/>
  <c r="BD72" i="2"/>
  <c r="BC72" i="2"/>
  <c r="BB72" i="2"/>
  <c r="DS72" i="2" s="1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F72" i="2"/>
  <c r="DH71" i="2"/>
  <c r="CY71" i="2"/>
  <c r="CW71" i="2"/>
  <c r="CV71" i="2"/>
  <c r="CQ71" i="2"/>
  <c r="CL71" i="2"/>
  <c r="CK71" i="2"/>
  <c r="CJ71" i="2"/>
  <c r="CI71" i="2"/>
  <c r="CH71" i="2"/>
  <c r="CG71" i="2"/>
  <c r="CF71" i="2"/>
  <c r="CE71" i="2"/>
  <c r="CC71" i="2"/>
  <c r="CB71" i="2"/>
  <c r="BW71" i="2"/>
  <c r="BV71" i="2"/>
  <c r="BU71" i="2"/>
  <c r="BT71" i="2"/>
  <c r="BS71" i="2"/>
  <c r="BR71" i="2"/>
  <c r="BQ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F71" i="2"/>
  <c r="DH70" i="2"/>
  <c r="CY70" i="2"/>
  <c r="CW70" i="2"/>
  <c r="CV70" i="2"/>
  <c r="CQ70" i="2"/>
  <c r="CL70" i="2"/>
  <c r="CK70" i="2"/>
  <c r="CJ70" i="2"/>
  <c r="CI70" i="2"/>
  <c r="CH70" i="2"/>
  <c r="CG70" i="2"/>
  <c r="CF70" i="2"/>
  <c r="CE70" i="2"/>
  <c r="CC70" i="2"/>
  <c r="CB70" i="2"/>
  <c r="BW70" i="2"/>
  <c r="BV70" i="2"/>
  <c r="BU70" i="2"/>
  <c r="BT70" i="2"/>
  <c r="BS70" i="2"/>
  <c r="BR70" i="2"/>
  <c r="BQ70" i="2"/>
  <c r="BJ70" i="2"/>
  <c r="BG70" i="2"/>
  <c r="BF70" i="2"/>
  <c r="BE70" i="2"/>
  <c r="BD70" i="2"/>
  <c r="BC70" i="2"/>
  <c r="BB70" i="2"/>
  <c r="DS70" i="2" s="1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F70" i="2"/>
  <c r="DH69" i="2"/>
  <c r="CY69" i="2"/>
  <c r="CW69" i="2"/>
  <c r="CV69" i="2"/>
  <c r="CQ69" i="2"/>
  <c r="CL69" i="2"/>
  <c r="CK69" i="2"/>
  <c r="CJ69" i="2"/>
  <c r="CI69" i="2"/>
  <c r="CH69" i="2"/>
  <c r="CG69" i="2"/>
  <c r="CF69" i="2"/>
  <c r="CE69" i="2"/>
  <c r="CC69" i="2"/>
  <c r="CB69" i="2"/>
  <c r="BW69" i="2"/>
  <c r="BV69" i="2"/>
  <c r="BU69" i="2"/>
  <c r="BT69" i="2"/>
  <c r="BS69" i="2"/>
  <c r="BR69" i="2"/>
  <c r="BQ69" i="2"/>
  <c r="BJ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DO69" i="2" s="1"/>
  <c r="AG69" i="2"/>
  <c r="AF69" i="2"/>
  <c r="AE69" i="2"/>
  <c r="AD69" i="2"/>
  <c r="AC69" i="2"/>
  <c r="AB69" i="2"/>
  <c r="AA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F69" i="2"/>
  <c r="DH68" i="2"/>
  <c r="CY68" i="2"/>
  <c r="CW68" i="2"/>
  <c r="CV68" i="2"/>
  <c r="CQ68" i="2"/>
  <c r="CL68" i="2"/>
  <c r="CK68" i="2"/>
  <c r="CJ68" i="2"/>
  <c r="CI68" i="2"/>
  <c r="CH68" i="2"/>
  <c r="CG68" i="2"/>
  <c r="CF68" i="2"/>
  <c r="CE68" i="2"/>
  <c r="CC68" i="2"/>
  <c r="CB68" i="2"/>
  <c r="BW68" i="2"/>
  <c r="BV68" i="2"/>
  <c r="BU68" i="2"/>
  <c r="BT68" i="2"/>
  <c r="BS68" i="2"/>
  <c r="BR68" i="2"/>
  <c r="BQ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F68" i="2"/>
  <c r="DH67" i="2"/>
  <c r="CY67" i="2"/>
  <c r="CW67" i="2"/>
  <c r="CV67" i="2"/>
  <c r="CQ67" i="2"/>
  <c r="CL67" i="2"/>
  <c r="CK67" i="2"/>
  <c r="CJ67" i="2"/>
  <c r="CI67" i="2"/>
  <c r="CH67" i="2"/>
  <c r="CG67" i="2"/>
  <c r="CF67" i="2"/>
  <c r="CE67" i="2"/>
  <c r="CC67" i="2"/>
  <c r="CB67" i="2"/>
  <c r="BW67" i="2"/>
  <c r="BV67" i="2"/>
  <c r="BU67" i="2"/>
  <c r="BT67" i="2"/>
  <c r="BS67" i="2"/>
  <c r="BR67" i="2"/>
  <c r="BQ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F67" i="2"/>
  <c r="DH66" i="2"/>
  <c r="CY66" i="2"/>
  <c r="CW66" i="2"/>
  <c r="CV66" i="2"/>
  <c r="CQ66" i="2"/>
  <c r="CL66" i="2"/>
  <c r="CK66" i="2"/>
  <c r="CJ66" i="2"/>
  <c r="CI66" i="2"/>
  <c r="CH66" i="2"/>
  <c r="CG66" i="2"/>
  <c r="CF66" i="2"/>
  <c r="CE66" i="2"/>
  <c r="CC66" i="2"/>
  <c r="CB66" i="2"/>
  <c r="BW66" i="2"/>
  <c r="BV66" i="2"/>
  <c r="BU66" i="2"/>
  <c r="BT66" i="2"/>
  <c r="BS66" i="2"/>
  <c r="BR66" i="2"/>
  <c r="BQ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F66" i="2"/>
  <c r="DH65" i="2"/>
  <c r="CY65" i="2"/>
  <c r="CW65" i="2"/>
  <c r="CV65" i="2"/>
  <c r="CQ65" i="2"/>
  <c r="CL65" i="2"/>
  <c r="CK65" i="2"/>
  <c r="CJ65" i="2"/>
  <c r="CI65" i="2"/>
  <c r="CH65" i="2"/>
  <c r="CG65" i="2"/>
  <c r="CF65" i="2"/>
  <c r="CE65" i="2"/>
  <c r="CC65" i="2"/>
  <c r="CB65" i="2"/>
  <c r="BW65" i="2"/>
  <c r="BV65" i="2"/>
  <c r="BU65" i="2"/>
  <c r="BT65" i="2"/>
  <c r="BS65" i="2"/>
  <c r="BR65" i="2"/>
  <c r="BQ65" i="2"/>
  <c r="BJ65" i="2"/>
  <c r="BG65" i="2"/>
  <c r="BF65" i="2"/>
  <c r="BE65" i="2"/>
  <c r="BD65" i="2"/>
  <c r="BC65" i="2"/>
  <c r="BB65" i="2"/>
  <c r="DS65" i="2" s="1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F65" i="2"/>
  <c r="DH64" i="2"/>
  <c r="CY64" i="2"/>
  <c r="CW64" i="2"/>
  <c r="CV64" i="2"/>
  <c r="CQ64" i="2"/>
  <c r="CL64" i="2"/>
  <c r="CK64" i="2"/>
  <c r="CJ64" i="2"/>
  <c r="CI64" i="2"/>
  <c r="CH64" i="2"/>
  <c r="CG64" i="2"/>
  <c r="CF64" i="2"/>
  <c r="CE64" i="2"/>
  <c r="CC64" i="2"/>
  <c r="CB64" i="2"/>
  <c r="BW64" i="2"/>
  <c r="BV64" i="2"/>
  <c r="BU64" i="2"/>
  <c r="BT64" i="2"/>
  <c r="BS64" i="2"/>
  <c r="BR64" i="2"/>
  <c r="BQ64" i="2"/>
  <c r="BJ64" i="2"/>
  <c r="BI64" i="2"/>
  <c r="BH64" i="2"/>
  <c r="BG64" i="2"/>
  <c r="BF64" i="2"/>
  <c r="BE64" i="2"/>
  <c r="BD64" i="2"/>
  <c r="BC64" i="2"/>
  <c r="BB64" i="2"/>
  <c r="DS64" i="2" s="1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F64" i="2"/>
  <c r="DH63" i="2"/>
  <c r="CY63" i="2"/>
  <c r="CW63" i="2"/>
  <c r="CV63" i="2"/>
  <c r="CQ63" i="2"/>
  <c r="CL63" i="2"/>
  <c r="CK63" i="2"/>
  <c r="CJ63" i="2"/>
  <c r="CI63" i="2"/>
  <c r="CH63" i="2"/>
  <c r="CG63" i="2"/>
  <c r="CF63" i="2"/>
  <c r="CE63" i="2"/>
  <c r="CC63" i="2"/>
  <c r="CB63" i="2"/>
  <c r="BW63" i="2"/>
  <c r="BV63" i="2"/>
  <c r="BU63" i="2"/>
  <c r="BT63" i="2"/>
  <c r="BS63" i="2"/>
  <c r="BR63" i="2"/>
  <c r="BQ63" i="2"/>
  <c r="BJ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F63" i="2"/>
  <c r="DH62" i="2"/>
  <c r="CY62" i="2"/>
  <c r="CW62" i="2"/>
  <c r="CV62" i="2"/>
  <c r="CQ62" i="2"/>
  <c r="CL62" i="2"/>
  <c r="CK62" i="2"/>
  <c r="CJ62" i="2"/>
  <c r="CI62" i="2"/>
  <c r="CH62" i="2"/>
  <c r="CG62" i="2"/>
  <c r="CF62" i="2"/>
  <c r="CE62" i="2"/>
  <c r="CC62" i="2"/>
  <c r="CB62" i="2"/>
  <c r="BW62" i="2"/>
  <c r="BV62" i="2"/>
  <c r="BU62" i="2"/>
  <c r="BT62" i="2"/>
  <c r="BS62" i="2"/>
  <c r="BR62" i="2"/>
  <c r="BQ62" i="2"/>
  <c r="BJ62" i="2"/>
  <c r="BI62" i="2"/>
  <c r="BH62" i="2"/>
  <c r="BG62" i="2"/>
  <c r="BF62" i="2"/>
  <c r="BE62" i="2"/>
  <c r="BD62" i="2"/>
  <c r="BC62" i="2"/>
  <c r="BB62" i="2"/>
  <c r="DS62" i="2" s="1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F62" i="2"/>
  <c r="DH61" i="2"/>
  <c r="CY61" i="2"/>
  <c r="CW61" i="2"/>
  <c r="CV61" i="2"/>
  <c r="CQ61" i="2"/>
  <c r="CL61" i="2"/>
  <c r="CK61" i="2"/>
  <c r="CJ61" i="2"/>
  <c r="CI61" i="2"/>
  <c r="CH61" i="2"/>
  <c r="CG61" i="2"/>
  <c r="CF61" i="2"/>
  <c r="CE61" i="2"/>
  <c r="CC61" i="2"/>
  <c r="CB61" i="2"/>
  <c r="BW61" i="2"/>
  <c r="BV61" i="2"/>
  <c r="BU61" i="2"/>
  <c r="BT61" i="2"/>
  <c r="BS61" i="2"/>
  <c r="BR61" i="2"/>
  <c r="BQ61" i="2"/>
  <c r="BJ61" i="2"/>
  <c r="BI61" i="2"/>
  <c r="BH61" i="2"/>
  <c r="BG61" i="2"/>
  <c r="BF61" i="2"/>
  <c r="BE61" i="2"/>
  <c r="BD61" i="2"/>
  <c r="BC61" i="2"/>
  <c r="BB61" i="2"/>
  <c r="DS61" i="2" s="1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DH60" i="2"/>
  <c r="CY60" i="2"/>
  <c r="CW60" i="2"/>
  <c r="CV60" i="2"/>
  <c r="CQ60" i="2"/>
  <c r="CL60" i="2"/>
  <c r="CK60" i="2"/>
  <c r="CJ60" i="2"/>
  <c r="CI60" i="2"/>
  <c r="CH60" i="2"/>
  <c r="CG60" i="2"/>
  <c r="CF60" i="2"/>
  <c r="CE60" i="2"/>
  <c r="CC60" i="2"/>
  <c r="CB60" i="2"/>
  <c r="BW60" i="2"/>
  <c r="BV60" i="2"/>
  <c r="BU60" i="2"/>
  <c r="BT60" i="2"/>
  <c r="BS60" i="2"/>
  <c r="BR60" i="2"/>
  <c r="BQ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F60" i="2"/>
  <c r="DH59" i="2"/>
  <c r="CY59" i="2"/>
  <c r="CW59" i="2"/>
  <c r="CV59" i="2"/>
  <c r="CQ59" i="2"/>
  <c r="CL59" i="2"/>
  <c r="CK59" i="2"/>
  <c r="CJ59" i="2"/>
  <c r="CI59" i="2"/>
  <c r="CH59" i="2"/>
  <c r="CG59" i="2"/>
  <c r="CF59" i="2"/>
  <c r="CE59" i="2"/>
  <c r="CC59" i="2"/>
  <c r="CB59" i="2"/>
  <c r="BW59" i="2"/>
  <c r="BV59" i="2"/>
  <c r="BU59" i="2"/>
  <c r="BT59" i="2"/>
  <c r="BS59" i="2"/>
  <c r="BR59" i="2"/>
  <c r="BQ59" i="2"/>
  <c r="BJ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F59" i="2"/>
  <c r="DH58" i="2"/>
  <c r="CY58" i="2"/>
  <c r="CW58" i="2"/>
  <c r="CV58" i="2"/>
  <c r="CQ58" i="2"/>
  <c r="CL58" i="2"/>
  <c r="CK58" i="2"/>
  <c r="CJ58" i="2"/>
  <c r="CI58" i="2"/>
  <c r="CH58" i="2"/>
  <c r="CG58" i="2"/>
  <c r="CF58" i="2"/>
  <c r="CE58" i="2"/>
  <c r="CC58" i="2"/>
  <c r="CB58" i="2"/>
  <c r="BW58" i="2"/>
  <c r="BV58" i="2"/>
  <c r="BU58" i="2"/>
  <c r="BT58" i="2"/>
  <c r="BS58" i="2"/>
  <c r="BR58" i="2"/>
  <c r="BQ58" i="2"/>
  <c r="BJ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F58" i="2"/>
  <c r="DH57" i="2"/>
  <c r="CY57" i="2"/>
  <c r="CW57" i="2"/>
  <c r="CV57" i="2"/>
  <c r="CQ57" i="2"/>
  <c r="CL57" i="2"/>
  <c r="CK57" i="2"/>
  <c r="CJ57" i="2"/>
  <c r="CI57" i="2"/>
  <c r="CH57" i="2"/>
  <c r="CG57" i="2"/>
  <c r="CF57" i="2"/>
  <c r="CE57" i="2"/>
  <c r="CC57" i="2"/>
  <c r="CB57" i="2"/>
  <c r="BW57" i="2"/>
  <c r="BV57" i="2"/>
  <c r="BU57" i="2"/>
  <c r="BT57" i="2"/>
  <c r="BS57" i="2"/>
  <c r="BR57" i="2"/>
  <c r="BQ57" i="2"/>
  <c r="BJ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F57" i="2"/>
  <c r="DH56" i="2"/>
  <c r="CY56" i="2"/>
  <c r="CW56" i="2"/>
  <c r="CV56" i="2"/>
  <c r="CQ56" i="2"/>
  <c r="CL56" i="2"/>
  <c r="CK56" i="2"/>
  <c r="CJ56" i="2"/>
  <c r="CI56" i="2"/>
  <c r="CH56" i="2"/>
  <c r="CG56" i="2"/>
  <c r="CF56" i="2"/>
  <c r="CE56" i="2"/>
  <c r="CC56" i="2"/>
  <c r="CB56" i="2"/>
  <c r="BW56" i="2"/>
  <c r="BV56" i="2"/>
  <c r="BU56" i="2"/>
  <c r="BT56" i="2"/>
  <c r="BS56" i="2"/>
  <c r="BR56" i="2"/>
  <c r="BQ56" i="2"/>
  <c r="BJ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DH55" i="2"/>
  <c r="CY55" i="2"/>
  <c r="CW55" i="2"/>
  <c r="CV55" i="2"/>
  <c r="CQ55" i="2"/>
  <c r="CL55" i="2"/>
  <c r="CK55" i="2"/>
  <c r="CJ55" i="2"/>
  <c r="CI55" i="2"/>
  <c r="CH55" i="2"/>
  <c r="CG55" i="2"/>
  <c r="CF55" i="2"/>
  <c r="CE55" i="2"/>
  <c r="CC55" i="2"/>
  <c r="CB55" i="2"/>
  <c r="BW55" i="2"/>
  <c r="BV55" i="2"/>
  <c r="BU55" i="2"/>
  <c r="BT55" i="2"/>
  <c r="BS55" i="2"/>
  <c r="BR55" i="2"/>
  <c r="BQ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F55" i="2"/>
  <c r="DH54" i="2"/>
  <c r="CY54" i="2"/>
  <c r="CW54" i="2"/>
  <c r="CV54" i="2"/>
  <c r="CQ54" i="2"/>
  <c r="CL54" i="2"/>
  <c r="CK54" i="2"/>
  <c r="CJ54" i="2"/>
  <c r="CI54" i="2"/>
  <c r="CH54" i="2"/>
  <c r="CG54" i="2"/>
  <c r="CF54" i="2"/>
  <c r="CE54" i="2"/>
  <c r="CC54" i="2"/>
  <c r="CB54" i="2"/>
  <c r="BW54" i="2"/>
  <c r="BV54" i="2"/>
  <c r="BU54" i="2"/>
  <c r="BT54" i="2"/>
  <c r="BS54" i="2"/>
  <c r="BR54" i="2"/>
  <c r="BQ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F54" i="2"/>
  <c r="DH53" i="2"/>
  <c r="CY53" i="2"/>
  <c r="CW53" i="2"/>
  <c r="CV53" i="2"/>
  <c r="CQ53" i="2"/>
  <c r="CL53" i="2"/>
  <c r="CK53" i="2"/>
  <c r="CJ53" i="2"/>
  <c r="CI53" i="2"/>
  <c r="CH53" i="2"/>
  <c r="CG53" i="2"/>
  <c r="CF53" i="2"/>
  <c r="CE53" i="2"/>
  <c r="CC53" i="2"/>
  <c r="CB53" i="2"/>
  <c r="BW53" i="2"/>
  <c r="BV53" i="2"/>
  <c r="BU53" i="2"/>
  <c r="BT53" i="2"/>
  <c r="BS53" i="2"/>
  <c r="BR53" i="2"/>
  <c r="BQ53" i="2"/>
  <c r="BJ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F53" i="2"/>
  <c r="DH52" i="2"/>
  <c r="CY52" i="2"/>
  <c r="CW52" i="2"/>
  <c r="CV52" i="2"/>
  <c r="CQ52" i="2"/>
  <c r="CL52" i="2"/>
  <c r="CK52" i="2"/>
  <c r="CJ52" i="2"/>
  <c r="CI52" i="2"/>
  <c r="CH52" i="2"/>
  <c r="CG52" i="2"/>
  <c r="CF52" i="2"/>
  <c r="CE52" i="2"/>
  <c r="CC52" i="2"/>
  <c r="CB52" i="2"/>
  <c r="BW52" i="2"/>
  <c r="BV52" i="2"/>
  <c r="BU52" i="2"/>
  <c r="BT52" i="2"/>
  <c r="BS52" i="2"/>
  <c r="BR52" i="2"/>
  <c r="BQ52" i="2"/>
  <c r="BJ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DH51" i="2"/>
  <c r="CY51" i="2"/>
  <c r="CW51" i="2"/>
  <c r="CV51" i="2"/>
  <c r="CQ51" i="2"/>
  <c r="CL51" i="2"/>
  <c r="CK51" i="2"/>
  <c r="CJ51" i="2"/>
  <c r="CI51" i="2"/>
  <c r="CH51" i="2"/>
  <c r="CG51" i="2"/>
  <c r="CF51" i="2"/>
  <c r="CE51" i="2"/>
  <c r="CC51" i="2"/>
  <c r="CB51" i="2"/>
  <c r="BW51" i="2"/>
  <c r="BV51" i="2"/>
  <c r="BU51" i="2"/>
  <c r="BT51" i="2"/>
  <c r="BS51" i="2"/>
  <c r="BR51" i="2"/>
  <c r="BQ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DH50" i="2"/>
  <c r="CY50" i="2"/>
  <c r="CW50" i="2"/>
  <c r="CV50" i="2"/>
  <c r="CQ50" i="2"/>
  <c r="CL50" i="2"/>
  <c r="CK50" i="2"/>
  <c r="CJ50" i="2"/>
  <c r="CI50" i="2"/>
  <c r="CH50" i="2"/>
  <c r="CG50" i="2"/>
  <c r="CF50" i="2"/>
  <c r="CE50" i="2"/>
  <c r="CC50" i="2"/>
  <c r="CB50" i="2"/>
  <c r="BW50" i="2"/>
  <c r="BV50" i="2"/>
  <c r="BU50" i="2"/>
  <c r="BT50" i="2"/>
  <c r="BS50" i="2"/>
  <c r="BR50" i="2"/>
  <c r="BQ50" i="2"/>
  <c r="BJ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F50" i="2"/>
  <c r="DH49" i="2"/>
  <c r="CY49" i="2"/>
  <c r="CW49" i="2"/>
  <c r="CV49" i="2"/>
  <c r="CQ49" i="2"/>
  <c r="CL49" i="2"/>
  <c r="CK49" i="2"/>
  <c r="CJ49" i="2"/>
  <c r="CI49" i="2"/>
  <c r="CH49" i="2"/>
  <c r="CG49" i="2"/>
  <c r="CF49" i="2"/>
  <c r="CE49" i="2"/>
  <c r="CC49" i="2"/>
  <c r="CB49" i="2"/>
  <c r="BW49" i="2"/>
  <c r="BV49" i="2"/>
  <c r="BU49" i="2"/>
  <c r="BT49" i="2"/>
  <c r="BS49" i="2"/>
  <c r="BR49" i="2"/>
  <c r="BQ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DH48" i="2"/>
  <c r="CY48" i="2"/>
  <c r="CW48" i="2"/>
  <c r="CV48" i="2"/>
  <c r="CQ48" i="2"/>
  <c r="CL48" i="2"/>
  <c r="CK48" i="2"/>
  <c r="CJ48" i="2"/>
  <c r="CI48" i="2"/>
  <c r="CH48" i="2"/>
  <c r="CG48" i="2"/>
  <c r="CF48" i="2"/>
  <c r="CE48" i="2"/>
  <c r="CC48" i="2"/>
  <c r="CB48" i="2"/>
  <c r="BW48" i="2"/>
  <c r="BV48" i="2"/>
  <c r="BU48" i="2"/>
  <c r="BT48" i="2"/>
  <c r="BS48" i="2"/>
  <c r="BR48" i="2"/>
  <c r="BQ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F48" i="2"/>
  <c r="DH47" i="2"/>
  <c r="CY47" i="2"/>
  <c r="CW47" i="2"/>
  <c r="CV47" i="2"/>
  <c r="CQ47" i="2"/>
  <c r="CL47" i="2"/>
  <c r="CK47" i="2"/>
  <c r="CJ47" i="2"/>
  <c r="CI47" i="2"/>
  <c r="CH47" i="2"/>
  <c r="CG47" i="2"/>
  <c r="CF47" i="2"/>
  <c r="CE47" i="2"/>
  <c r="CC47" i="2"/>
  <c r="CB47" i="2"/>
  <c r="BW47" i="2"/>
  <c r="BV47" i="2"/>
  <c r="BU47" i="2"/>
  <c r="BT47" i="2"/>
  <c r="BS47" i="2"/>
  <c r="BR47" i="2"/>
  <c r="BQ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F47" i="2"/>
  <c r="DH46" i="2"/>
  <c r="CY46" i="2"/>
  <c r="CW46" i="2"/>
  <c r="CV46" i="2"/>
  <c r="CQ46" i="2"/>
  <c r="CL46" i="2"/>
  <c r="CK46" i="2"/>
  <c r="CJ46" i="2"/>
  <c r="CI46" i="2"/>
  <c r="CH46" i="2"/>
  <c r="CG46" i="2"/>
  <c r="CF46" i="2"/>
  <c r="CE46" i="2"/>
  <c r="CC46" i="2"/>
  <c r="CB46" i="2"/>
  <c r="BW46" i="2"/>
  <c r="BV46" i="2"/>
  <c r="BU46" i="2"/>
  <c r="BT46" i="2"/>
  <c r="BS46" i="2"/>
  <c r="BR46" i="2"/>
  <c r="BQ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F46" i="2"/>
  <c r="DH45" i="2"/>
  <c r="CY45" i="2"/>
  <c r="CW45" i="2"/>
  <c r="CV45" i="2"/>
  <c r="CQ45" i="2"/>
  <c r="CL45" i="2"/>
  <c r="CK45" i="2"/>
  <c r="CJ45" i="2"/>
  <c r="CI45" i="2"/>
  <c r="CH45" i="2"/>
  <c r="CG45" i="2"/>
  <c r="CF45" i="2"/>
  <c r="CE45" i="2"/>
  <c r="CC45" i="2"/>
  <c r="CB45" i="2"/>
  <c r="BW45" i="2"/>
  <c r="BV45" i="2"/>
  <c r="BU45" i="2"/>
  <c r="BT45" i="2"/>
  <c r="BS45" i="2"/>
  <c r="BR45" i="2"/>
  <c r="BQ45" i="2"/>
  <c r="BJ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DH44" i="2"/>
  <c r="CY44" i="2"/>
  <c r="CW44" i="2"/>
  <c r="CV44" i="2"/>
  <c r="CQ44" i="2"/>
  <c r="CL44" i="2"/>
  <c r="CK44" i="2"/>
  <c r="CJ44" i="2"/>
  <c r="CI44" i="2"/>
  <c r="CH44" i="2"/>
  <c r="CG44" i="2"/>
  <c r="CF44" i="2"/>
  <c r="CE44" i="2"/>
  <c r="CC44" i="2"/>
  <c r="CB44" i="2"/>
  <c r="BW44" i="2"/>
  <c r="BV44" i="2"/>
  <c r="BU44" i="2"/>
  <c r="BT44" i="2"/>
  <c r="BS44" i="2"/>
  <c r="BR44" i="2"/>
  <c r="BQ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DH43" i="2"/>
  <c r="CY43" i="2"/>
  <c r="CW43" i="2"/>
  <c r="CV43" i="2"/>
  <c r="CQ43" i="2"/>
  <c r="CL43" i="2"/>
  <c r="CK43" i="2"/>
  <c r="CJ43" i="2"/>
  <c r="CI43" i="2"/>
  <c r="CH43" i="2"/>
  <c r="CG43" i="2"/>
  <c r="CF43" i="2"/>
  <c r="CE43" i="2"/>
  <c r="CC43" i="2"/>
  <c r="CB43" i="2"/>
  <c r="BW43" i="2"/>
  <c r="BV43" i="2"/>
  <c r="BU43" i="2"/>
  <c r="BT43" i="2"/>
  <c r="BS43" i="2"/>
  <c r="BR43" i="2"/>
  <c r="BQ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DH42" i="2"/>
  <c r="CY42" i="2"/>
  <c r="CW42" i="2"/>
  <c r="CV42" i="2"/>
  <c r="CQ42" i="2"/>
  <c r="CL42" i="2"/>
  <c r="CK42" i="2"/>
  <c r="CJ42" i="2"/>
  <c r="CI42" i="2"/>
  <c r="CH42" i="2"/>
  <c r="CG42" i="2"/>
  <c r="CF42" i="2"/>
  <c r="CE42" i="2"/>
  <c r="CC42" i="2"/>
  <c r="CB42" i="2"/>
  <c r="BW42" i="2"/>
  <c r="BV42" i="2"/>
  <c r="BU42" i="2"/>
  <c r="BT42" i="2"/>
  <c r="BS42" i="2"/>
  <c r="BR42" i="2"/>
  <c r="BQ42" i="2"/>
  <c r="BJ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F42" i="2"/>
  <c r="DH41" i="2"/>
  <c r="CY41" i="2"/>
  <c r="CW41" i="2"/>
  <c r="CV41" i="2"/>
  <c r="CQ41" i="2"/>
  <c r="CL41" i="2"/>
  <c r="CK41" i="2"/>
  <c r="CJ41" i="2"/>
  <c r="CI41" i="2"/>
  <c r="CH41" i="2"/>
  <c r="CG41" i="2"/>
  <c r="CF41" i="2"/>
  <c r="CE41" i="2"/>
  <c r="CC41" i="2"/>
  <c r="CB41" i="2"/>
  <c r="BW41" i="2"/>
  <c r="BV41" i="2"/>
  <c r="BU41" i="2"/>
  <c r="BT41" i="2"/>
  <c r="BS41" i="2"/>
  <c r="BR41" i="2"/>
  <c r="BQ41" i="2"/>
  <c r="BJ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F41" i="2"/>
  <c r="DH40" i="2"/>
  <c r="CY40" i="2"/>
  <c r="CW40" i="2"/>
  <c r="CV40" i="2"/>
  <c r="CQ40" i="2"/>
  <c r="CL40" i="2"/>
  <c r="CK40" i="2"/>
  <c r="CJ40" i="2"/>
  <c r="CI40" i="2"/>
  <c r="CH40" i="2"/>
  <c r="CG40" i="2"/>
  <c r="CF40" i="2"/>
  <c r="CE40" i="2"/>
  <c r="CC40" i="2"/>
  <c r="CB40" i="2"/>
  <c r="BW40" i="2"/>
  <c r="BV40" i="2"/>
  <c r="BU40" i="2"/>
  <c r="BT40" i="2"/>
  <c r="BS40" i="2"/>
  <c r="BR40" i="2"/>
  <c r="BQ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DH39" i="2"/>
  <c r="CY39" i="2"/>
  <c r="CW39" i="2"/>
  <c r="CV39" i="2"/>
  <c r="CQ39" i="2"/>
  <c r="CL39" i="2"/>
  <c r="CK39" i="2"/>
  <c r="CJ39" i="2"/>
  <c r="CI39" i="2"/>
  <c r="CH39" i="2"/>
  <c r="CG39" i="2"/>
  <c r="CF39" i="2"/>
  <c r="CE39" i="2"/>
  <c r="CC39" i="2"/>
  <c r="CB39" i="2"/>
  <c r="BW39" i="2"/>
  <c r="BV39" i="2"/>
  <c r="BU39" i="2"/>
  <c r="BT39" i="2"/>
  <c r="BS39" i="2"/>
  <c r="BR39" i="2"/>
  <c r="BQ39" i="2"/>
  <c r="BJ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F39" i="2"/>
  <c r="DH38" i="2"/>
  <c r="CY38" i="2"/>
  <c r="CW38" i="2"/>
  <c r="CV38" i="2"/>
  <c r="CQ38" i="2"/>
  <c r="CL38" i="2"/>
  <c r="CK38" i="2"/>
  <c r="CJ38" i="2"/>
  <c r="CI38" i="2"/>
  <c r="CH38" i="2"/>
  <c r="CG38" i="2"/>
  <c r="CF38" i="2"/>
  <c r="CE38" i="2"/>
  <c r="CC38" i="2"/>
  <c r="CB38" i="2"/>
  <c r="BW38" i="2"/>
  <c r="BV38" i="2"/>
  <c r="BU38" i="2"/>
  <c r="BT38" i="2"/>
  <c r="BS38" i="2"/>
  <c r="BR38" i="2"/>
  <c r="BQ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DH37" i="2"/>
  <c r="CY37" i="2"/>
  <c r="CW37" i="2"/>
  <c r="CV37" i="2"/>
  <c r="CQ37" i="2"/>
  <c r="CL37" i="2"/>
  <c r="CK37" i="2"/>
  <c r="CJ37" i="2"/>
  <c r="CI37" i="2"/>
  <c r="CH37" i="2"/>
  <c r="CG37" i="2"/>
  <c r="CF37" i="2"/>
  <c r="CE37" i="2"/>
  <c r="CC37" i="2"/>
  <c r="CB37" i="2"/>
  <c r="BW37" i="2"/>
  <c r="BV37" i="2"/>
  <c r="BU37" i="2"/>
  <c r="BT37" i="2"/>
  <c r="BS37" i="2"/>
  <c r="BR37" i="2"/>
  <c r="BQ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F37" i="2"/>
  <c r="DH36" i="2"/>
  <c r="CY36" i="2"/>
  <c r="CW36" i="2"/>
  <c r="CV36" i="2"/>
  <c r="CQ36" i="2"/>
  <c r="CL36" i="2"/>
  <c r="CK36" i="2"/>
  <c r="CJ36" i="2"/>
  <c r="CI36" i="2"/>
  <c r="CH36" i="2"/>
  <c r="CG36" i="2"/>
  <c r="CF36" i="2"/>
  <c r="CE36" i="2"/>
  <c r="CC36" i="2"/>
  <c r="CB36" i="2"/>
  <c r="BW36" i="2"/>
  <c r="BV36" i="2"/>
  <c r="BU36" i="2"/>
  <c r="BT36" i="2"/>
  <c r="BS36" i="2"/>
  <c r="BR36" i="2"/>
  <c r="BQ36" i="2"/>
  <c r="BJ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F36" i="2"/>
  <c r="DH35" i="2"/>
  <c r="CY35" i="2"/>
  <c r="CW35" i="2"/>
  <c r="CV35" i="2"/>
  <c r="CQ35" i="2"/>
  <c r="CL35" i="2"/>
  <c r="CK35" i="2"/>
  <c r="CJ35" i="2"/>
  <c r="CI35" i="2"/>
  <c r="CH35" i="2"/>
  <c r="CG35" i="2"/>
  <c r="CF35" i="2"/>
  <c r="CE35" i="2"/>
  <c r="CC35" i="2"/>
  <c r="CB35" i="2"/>
  <c r="BW35" i="2"/>
  <c r="BV35" i="2"/>
  <c r="BU35" i="2"/>
  <c r="BT35" i="2"/>
  <c r="BS35" i="2"/>
  <c r="BR35" i="2"/>
  <c r="BQ35" i="2"/>
  <c r="BJ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F35" i="2"/>
  <c r="DH34" i="2"/>
  <c r="CY34" i="2"/>
  <c r="CW34" i="2"/>
  <c r="CV34" i="2"/>
  <c r="CQ34" i="2"/>
  <c r="CL34" i="2"/>
  <c r="CK34" i="2"/>
  <c r="CJ34" i="2"/>
  <c r="CI34" i="2"/>
  <c r="CH34" i="2"/>
  <c r="CG34" i="2"/>
  <c r="CF34" i="2"/>
  <c r="CE34" i="2"/>
  <c r="CC34" i="2"/>
  <c r="CB34" i="2"/>
  <c r="BW34" i="2"/>
  <c r="BV34" i="2"/>
  <c r="BU34" i="2"/>
  <c r="BT34" i="2"/>
  <c r="BS34" i="2"/>
  <c r="BR34" i="2"/>
  <c r="BQ34" i="2"/>
  <c r="BJ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F34" i="2"/>
  <c r="DH33" i="2"/>
  <c r="CY33" i="2"/>
  <c r="CW33" i="2"/>
  <c r="CV33" i="2"/>
  <c r="CQ33" i="2"/>
  <c r="CL33" i="2"/>
  <c r="CK33" i="2"/>
  <c r="CJ33" i="2"/>
  <c r="CI33" i="2"/>
  <c r="CH33" i="2"/>
  <c r="CG33" i="2"/>
  <c r="CF33" i="2"/>
  <c r="CE33" i="2"/>
  <c r="CC33" i="2"/>
  <c r="CB33" i="2"/>
  <c r="BW33" i="2"/>
  <c r="BV33" i="2"/>
  <c r="BU33" i="2"/>
  <c r="BT33" i="2"/>
  <c r="BS33" i="2"/>
  <c r="BR33" i="2"/>
  <c r="BQ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DH32" i="2"/>
  <c r="CY32" i="2"/>
  <c r="CW32" i="2"/>
  <c r="CV32" i="2"/>
  <c r="CQ32" i="2"/>
  <c r="CL32" i="2"/>
  <c r="CJ32" i="2"/>
  <c r="CI32" i="2"/>
  <c r="CH32" i="2"/>
  <c r="CG32" i="2"/>
  <c r="CF32" i="2"/>
  <c r="CE32" i="2"/>
  <c r="CC32" i="2"/>
  <c r="CB32" i="2"/>
  <c r="BW32" i="2"/>
  <c r="BV32" i="2"/>
  <c r="BU32" i="2"/>
  <c r="BT32" i="2"/>
  <c r="BS32" i="2"/>
  <c r="BR32" i="2"/>
  <c r="BQ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F32" i="2"/>
  <c r="DH31" i="2"/>
  <c r="CY31" i="2"/>
  <c r="CW31" i="2"/>
  <c r="CV31" i="2"/>
  <c r="CQ31" i="2"/>
  <c r="CL31" i="2"/>
  <c r="CK31" i="2"/>
  <c r="CJ31" i="2"/>
  <c r="CI31" i="2"/>
  <c r="CH31" i="2"/>
  <c r="CG31" i="2"/>
  <c r="CF31" i="2"/>
  <c r="CE31" i="2"/>
  <c r="CC31" i="2"/>
  <c r="CB31" i="2"/>
  <c r="BW31" i="2"/>
  <c r="BV31" i="2"/>
  <c r="BU31" i="2"/>
  <c r="BT31" i="2"/>
  <c r="BS31" i="2"/>
  <c r="BR31" i="2"/>
  <c r="BQ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F31" i="2"/>
  <c r="DH30" i="2"/>
  <c r="CY30" i="2"/>
  <c r="CW30" i="2"/>
  <c r="CV30" i="2"/>
  <c r="CQ30" i="2"/>
  <c r="CL30" i="2"/>
  <c r="CK30" i="2"/>
  <c r="CJ30" i="2"/>
  <c r="CI30" i="2"/>
  <c r="CH30" i="2"/>
  <c r="CG30" i="2"/>
  <c r="CF30" i="2"/>
  <c r="CE30" i="2"/>
  <c r="CC30" i="2"/>
  <c r="CB30" i="2"/>
  <c r="BW30" i="2"/>
  <c r="BV30" i="2"/>
  <c r="BU30" i="2"/>
  <c r="BT30" i="2"/>
  <c r="BS30" i="2"/>
  <c r="BR30" i="2"/>
  <c r="BQ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F30" i="2"/>
  <c r="DH29" i="2"/>
  <c r="CY29" i="2"/>
  <c r="CW29" i="2"/>
  <c r="CV29" i="2"/>
  <c r="CQ29" i="2"/>
  <c r="CL29" i="2"/>
  <c r="CK29" i="2"/>
  <c r="CJ29" i="2"/>
  <c r="CI29" i="2"/>
  <c r="CH29" i="2"/>
  <c r="CG29" i="2"/>
  <c r="CF29" i="2"/>
  <c r="CE29" i="2"/>
  <c r="CC29" i="2"/>
  <c r="CB29" i="2"/>
  <c r="BW29" i="2"/>
  <c r="BV29" i="2"/>
  <c r="BU29" i="2"/>
  <c r="BT29" i="2"/>
  <c r="BS29" i="2"/>
  <c r="BR29" i="2"/>
  <c r="BQ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F29" i="2"/>
  <c r="DH28" i="2"/>
  <c r="CY28" i="2"/>
  <c r="CW28" i="2"/>
  <c r="CV28" i="2"/>
  <c r="CQ28" i="2"/>
  <c r="CL28" i="2"/>
  <c r="CK28" i="2"/>
  <c r="CJ28" i="2"/>
  <c r="CI28" i="2"/>
  <c r="CH28" i="2"/>
  <c r="CG28" i="2"/>
  <c r="CF28" i="2"/>
  <c r="CE28" i="2"/>
  <c r="CC28" i="2"/>
  <c r="CB28" i="2"/>
  <c r="BW28" i="2"/>
  <c r="BV28" i="2"/>
  <c r="BU28" i="2"/>
  <c r="BT28" i="2"/>
  <c r="BS28" i="2"/>
  <c r="BR28" i="2"/>
  <c r="BQ28" i="2"/>
  <c r="BJ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F28" i="2"/>
  <c r="DH27" i="2"/>
  <c r="CY27" i="2"/>
  <c r="CW27" i="2"/>
  <c r="CV27" i="2"/>
  <c r="CQ27" i="2"/>
  <c r="CL27" i="2"/>
  <c r="CK27" i="2"/>
  <c r="CJ27" i="2"/>
  <c r="CI27" i="2"/>
  <c r="CH27" i="2"/>
  <c r="CG27" i="2"/>
  <c r="CF27" i="2"/>
  <c r="CE27" i="2"/>
  <c r="CC27" i="2"/>
  <c r="CB27" i="2"/>
  <c r="BW27" i="2"/>
  <c r="BV27" i="2"/>
  <c r="BU27" i="2"/>
  <c r="BT27" i="2"/>
  <c r="BS27" i="2"/>
  <c r="BR27" i="2"/>
  <c r="BQ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F27" i="2"/>
  <c r="DH26" i="2"/>
  <c r="CY26" i="2"/>
  <c r="CW26" i="2"/>
  <c r="CV26" i="2"/>
  <c r="CQ26" i="2"/>
  <c r="CL26" i="2"/>
  <c r="CK26" i="2"/>
  <c r="CJ26" i="2"/>
  <c r="CI26" i="2"/>
  <c r="CH26" i="2"/>
  <c r="CG26" i="2"/>
  <c r="CF26" i="2"/>
  <c r="CE26" i="2"/>
  <c r="CC26" i="2"/>
  <c r="CB26" i="2"/>
  <c r="BW26" i="2"/>
  <c r="BV26" i="2"/>
  <c r="BU26" i="2"/>
  <c r="BT26" i="2"/>
  <c r="BS26" i="2"/>
  <c r="BR26" i="2"/>
  <c r="BQ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F26" i="2"/>
  <c r="DH25" i="2"/>
  <c r="CY25" i="2"/>
  <c r="CW25" i="2"/>
  <c r="CV25" i="2"/>
  <c r="CQ25" i="2"/>
  <c r="CL25" i="2"/>
  <c r="CK25" i="2"/>
  <c r="CJ25" i="2"/>
  <c r="CI25" i="2"/>
  <c r="CH25" i="2"/>
  <c r="CG25" i="2"/>
  <c r="CF25" i="2"/>
  <c r="CE25" i="2"/>
  <c r="CC25" i="2"/>
  <c r="CB25" i="2"/>
  <c r="BW25" i="2"/>
  <c r="BV25" i="2"/>
  <c r="BU25" i="2"/>
  <c r="BT25" i="2"/>
  <c r="BS25" i="2"/>
  <c r="BR25" i="2"/>
  <c r="BQ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DH24" i="2"/>
  <c r="CY24" i="2"/>
  <c r="CW24" i="2"/>
  <c r="CV24" i="2"/>
  <c r="CQ24" i="2"/>
  <c r="CL24" i="2"/>
  <c r="CK24" i="2"/>
  <c r="CJ24" i="2"/>
  <c r="CI24" i="2"/>
  <c r="CH24" i="2"/>
  <c r="CG24" i="2"/>
  <c r="CF24" i="2"/>
  <c r="CE24" i="2"/>
  <c r="CC24" i="2"/>
  <c r="CB24" i="2"/>
  <c r="BW24" i="2"/>
  <c r="BV24" i="2"/>
  <c r="BU24" i="2"/>
  <c r="BT24" i="2"/>
  <c r="BS24" i="2"/>
  <c r="BR24" i="2"/>
  <c r="BQ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F24" i="2"/>
  <c r="DH23" i="2"/>
  <c r="CY23" i="2"/>
  <c r="CW23" i="2"/>
  <c r="CV23" i="2"/>
  <c r="CQ23" i="2"/>
  <c r="CL23" i="2"/>
  <c r="CK23" i="2"/>
  <c r="CJ23" i="2"/>
  <c r="CI23" i="2"/>
  <c r="CH23" i="2"/>
  <c r="CG23" i="2"/>
  <c r="CF23" i="2"/>
  <c r="CE23" i="2"/>
  <c r="CC23" i="2"/>
  <c r="CB23" i="2"/>
  <c r="BW23" i="2"/>
  <c r="BV23" i="2"/>
  <c r="BU23" i="2"/>
  <c r="BT23" i="2"/>
  <c r="BS23" i="2"/>
  <c r="BR23" i="2"/>
  <c r="BQ23" i="2"/>
  <c r="BJ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F23" i="2"/>
  <c r="DH22" i="2"/>
  <c r="CY22" i="2"/>
  <c r="CW22" i="2"/>
  <c r="CV22" i="2"/>
  <c r="CQ22" i="2"/>
  <c r="CL22" i="2"/>
  <c r="CK22" i="2"/>
  <c r="CJ22" i="2"/>
  <c r="CI22" i="2"/>
  <c r="CH22" i="2"/>
  <c r="CG22" i="2"/>
  <c r="CF22" i="2"/>
  <c r="CE22" i="2"/>
  <c r="CC22" i="2"/>
  <c r="CB22" i="2"/>
  <c r="BW22" i="2"/>
  <c r="BV22" i="2"/>
  <c r="BU22" i="2"/>
  <c r="BT22" i="2"/>
  <c r="BS22" i="2"/>
  <c r="BR22" i="2"/>
  <c r="BQ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F22" i="2"/>
  <c r="DH21" i="2"/>
  <c r="CY21" i="2"/>
  <c r="CW21" i="2"/>
  <c r="CV21" i="2"/>
  <c r="CQ21" i="2"/>
  <c r="CL21" i="2"/>
  <c r="CK21" i="2"/>
  <c r="CJ21" i="2"/>
  <c r="CI21" i="2"/>
  <c r="CH21" i="2"/>
  <c r="CG21" i="2"/>
  <c r="CF21" i="2"/>
  <c r="CE21" i="2"/>
  <c r="CC21" i="2"/>
  <c r="CB21" i="2"/>
  <c r="BW21" i="2"/>
  <c r="BV21" i="2"/>
  <c r="BU21" i="2"/>
  <c r="BT21" i="2"/>
  <c r="BS21" i="2"/>
  <c r="BR21" i="2"/>
  <c r="BQ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F21" i="2"/>
  <c r="DH20" i="2"/>
  <c r="CY20" i="2"/>
  <c r="CW20" i="2"/>
  <c r="CV20" i="2"/>
  <c r="CQ20" i="2"/>
  <c r="CL20" i="2"/>
  <c r="CK20" i="2"/>
  <c r="CJ20" i="2"/>
  <c r="CI20" i="2"/>
  <c r="CH20" i="2"/>
  <c r="CG20" i="2"/>
  <c r="CF20" i="2"/>
  <c r="CE20" i="2"/>
  <c r="CC20" i="2"/>
  <c r="CB20" i="2"/>
  <c r="BW20" i="2"/>
  <c r="BV20" i="2"/>
  <c r="BU20" i="2"/>
  <c r="BT20" i="2"/>
  <c r="BS20" i="2"/>
  <c r="BR20" i="2"/>
  <c r="BQ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F20" i="2"/>
  <c r="DH19" i="2"/>
  <c r="CY19" i="2"/>
  <c r="CW19" i="2"/>
  <c r="CV19" i="2"/>
  <c r="CQ19" i="2"/>
  <c r="CL19" i="2"/>
  <c r="CK19" i="2"/>
  <c r="CJ19" i="2"/>
  <c r="CI19" i="2"/>
  <c r="CH19" i="2"/>
  <c r="CG19" i="2"/>
  <c r="CF19" i="2"/>
  <c r="CE19" i="2"/>
  <c r="CC19" i="2"/>
  <c r="CB19" i="2"/>
  <c r="BW19" i="2"/>
  <c r="BV19" i="2"/>
  <c r="BU19" i="2"/>
  <c r="BT19" i="2"/>
  <c r="BS19" i="2"/>
  <c r="BR19" i="2"/>
  <c r="BQ19" i="2"/>
  <c r="BJ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F19" i="2"/>
  <c r="DH18" i="2"/>
  <c r="CY18" i="2"/>
  <c r="CW18" i="2"/>
  <c r="CV18" i="2"/>
  <c r="CQ18" i="2"/>
  <c r="CL18" i="2"/>
  <c r="CK18" i="2"/>
  <c r="CJ18" i="2"/>
  <c r="CI18" i="2"/>
  <c r="CH18" i="2"/>
  <c r="CG18" i="2"/>
  <c r="CF18" i="2"/>
  <c r="CE18" i="2"/>
  <c r="CC18" i="2"/>
  <c r="CB18" i="2"/>
  <c r="BW18" i="2"/>
  <c r="BV18" i="2"/>
  <c r="BU18" i="2"/>
  <c r="BT18" i="2"/>
  <c r="BS18" i="2"/>
  <c r="BR18" i="2"/>
  <c r="BQ18" i="2"/>
  <c r="BJ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F18" i="2"/>
  <c r="DH17" i="2"/>
  <c r="CY17" i="2"/>
  <c r="CW17" i="2"/>
  <c r="CV17" i="2"/>
  <c r="CQ17" i="2"/>
  <c r="CL17" i="2"/>
  <c r="CK17" i="2"/>
  <c r="CJ17" i="2"/>
  <c r="CI17" i="2"/>
  <c r="CH17" i="2"/>
  <c r="CG17" i="2"/>
  <c r="CF17" i="2"/>
  <c r="CE17" i="2"/>
  <c r="CC17" i="2"/>
  <c r="CB17" i="2"/>
  <c r="BW17" i="2"/>
  <c r="BV17" i="2"/>
  <c r="BU17" i="2"/>
  <c r="BT17" i="2"/>
  <c r="BS17" i="2"/>
  <c r="BR17" i="2"/>
  <c r="BQ17" i="2"/>
  <c r="BJ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DH16" i="2"/>
  <c r="CY16" i="2"/>
  <c r="CW16" i="2"/>
  <c r="CV16" i="2"/>
  <c r="CQ16" i="2"/>
  <c r="CL16" i="2"/>
  <c r="CK16" i="2"/>
  <c r="CJ16" i="2"/>
  <c r="CI16" i="2"/>
  <c r="CH16" i="2"/>
  <c r="CG16" i="2"/>
  <c r="CF16" i="2"/>
  <c r="CE16" i="2"/>
  <c r="CC16" i="2"/>
  <c r="CB16" i="2"/>
  <c r="BW16" i="2"/>
  <c r="BV16" i="2"/>
  <c r="BU16" i="2"/>
  <c r="BT16" i="2"/>
  <c r="BS16" i="2"/>
  <c r="BR16" i="2"/>
  <c r="BQ16" i="2"/>
  <c r="BJ16" i="2"/>
  <c r="BI16" i="2"/>
  <c r="BH16" i="2"/>
  <c r="BG16" i="2"/>
  <c r="BF16" i="2"/>
  <c r="BE16" i="2"/>
  <c r="BD16" i="2"/>
  <c r="BC16" i="2"/>
  <c r="BB16" i="2"/>
  <c r="DS16" i="2" s="1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F16" i="2"/>
  <c r="DH15" i="2"/>
  <c r="CY15" i="2"/>
  <c r="CW15" i="2"/>
  <c r="CV15" i="2"/>
  <c r="CQ15" i="2"/>
  <c r="CL15" i="2"/>
  <c r="CK15" i="2"/>
  <c r="CJ15" i="2"/>
  <c r="CI15" i="2"/>
  <c r="CH15" i="2"/>
  <c r="CG15" i="2"/>
  <c r="CF15" i="2"/>
  <c r="CE15" i="2"/>
  <c r="CC15" i="2"/>
  <c r="CB15" i="2"/>
  <c r="BW15" i="2"/>
  <c r="BV15" i="2"/>
  <c r="BU15" i="2"/>
  <c r="BT15" i="2"/>
  <c r="BS15" i="2"/>
  <c r="BR15" i="2"/>
  <c r="BQ15" i="2"/>
  <c r="BJ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F15" i="2"/>
  <c r="DH14" i="2"/>
  <c r="CY14" i="2"/>
  <c r="CW14" i="2"/>
  <c r="CV14" i="2"/>
  <c r="CQ14" i="2"/>
  <c r="CL14" i="2"/>
  <c r="CK14" i="2"/>
  <c r="CJ14" i="2"/>
  <c r="CI14" i="2"/>
  <c r="CH14" i="2"/>
  <c r="CG14" i="2"/>
  <c r="CF14" i="2"/>
  <c r="CE14" i="2"/>
  <c r="CC14" i="2"/>
  <c r="CB14" i="2"/>
  <c r="BW14" i="2"/>
  <c r="BV14" i="2"/>
  <c r="BU14" i="2"/>
  <c r="BT14" i="2"/>
  <c r="BS14" i="2"/>
  <c r="BR14" i="2"/>
  <c r="BQ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F14" i="2"/>
  <c r="DH13" i="2"/>
  <c r="CY13" i="2"/>
  <c r="CW13" i="2"/>
  <c r="CV13" i="2"/>
  <c r="CQ13" i="2"/>
  <c r="CL13" i="2"/>
  <c r="CK13" i="2"/>
  <c r="CJ13" i="2"/>
  <c r="CI13" i="2"/>
  <c r="CH13" i="2"/>
  <c r="CG13" i="2"/>
  <c r="CF13" i="2"/>
  <c r="CE13" i="2"/>
  <c r="CC13" i="2"/>
  <c r="CB13" i="2"/>
  <c r="BW13" i="2"/>
  <c r="BV13" i="2"/>
  <c r="BU13" i="2"/>
  <c r="BT13" i="2"/>
  <c r="BS13" i="2"/>
  <c r="BR13" i="2"/>
  <c r="BQ13" i="2"/>
  <c r="BJ13" i="2"/>
  <c r="BG13" i="2"/>
  <c r="BF13" i="2"/>
  <c r="DS13" i="2" s="1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F13" i="2"/>
  <c r="DH12" i="2"/>
  <c r="CY12" i="2"/>
  <c r="CW12" i="2"/>
  <c r="CV12" i="2"/>
  <c r="CQ12" i="2"/>
  <c r="CL12" i="2"/>
  <c r="CK12" i="2"/>
  <c r="CJ12" i="2"/>
  <c r="CI12" i="2"/>
  <c r="CH12" i="2"/>
  <c r="CG12" i="2"/>
  <c r="CF12" i="2"/>
  <c r="CE12" i="2"/>
  <c r="CC12" i="2"/>
  <c r="CB12" i="2"/>
  <c r="BW12" i="2"/>
  <c r="BV12" i="2"/>
  <c r="BU12" i="2"/>
  <c r="BT12" i="2"/>
  <c r="BS12" i="2"/>
  <c r="BR12" i="2"/>
  <c r="BQ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F12" i="2"/>
  <c r="DH11" i="2"/>
  <c r="CY11" i="2"/>
  <c r="CW11" i="2"/>
  <c r="CV11" i="2"/>
  <c r="CQ11" i="2"/>
  <c r="CL11" i="2"/>
  <c r="CK11" i="2"/>
  <c r="CJ11" i="2"/>
  <c r="CI11" i="2"/>
  <c r="CH11" i="2"/>
  <c r="CG11" i="2"/>
  <c r="CF11" i="2"/>
  <c r="CE11" i="2"/>
  <c r="CC11" i="2"/>
  <c r="CB11" i="2"/>
  <c r="BW11" i="2"/>
  <c r="BV11" i="2"/>
  <c r="BU11" i="2"/>
  <c r="BT11" i="2"/>
  <c r="BS11" i="2"/>
  <c r="BR11" i="2"/>
  <c r="BQ11" i="2"/>
  <c r="BJ11" i="2"/>
  <c r="BI11" i="2"/>
  <c r="BH11" i="2"/>
  <c r="BG11" i="2"/>
  <c r="BF11" i="2"/>
  <c r="BE11" i="2"/>
  <c r="BD11" i="2"/>
  <c r="BC11" i="2"/>
  <c r="BB11" i="2"/>
  <c r="DS11" i="2" s="1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F11" i="2"/>
  <c r="DH10" i="2"/>
  <c r="CY10" i="2"/>
  <c r="CW10" i="2"/>
  <c r="CV10" i="2"/>
  <c r="CQ10" i="2"/>
  <c r="CL10" i="2"/>
  <c r="CK10" i="2"/>
  <c r="CJ10" i="2"/>
  <c r="CI10" i="2"/>
  <c r="CH10" i="2"/>
  <c r="CG10" i="2"/>
  <c r="CF10" i="2"/>
  <c r="CE10" i="2"/>
  <c r="CC10" i="2"/>
  <c r="CB10" i="2"/>
  <c r="BW10" i="2"/>
  <c r="BV10" i="2"/>
  <c r="BU10" i="2"/>
  <c r="BT10" i="2"/>
  <c r="BS10" i="2"/>
  <c r="BR10" i="2"/>
  <c r="BQ10" i="2"/>
  <c r="BJ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F10" i="2"/>
  <c r="DH9" i="2"/>
  <c r="CY9" i="2"/>
  <c r="CW9" i="2"/>
  <c r="CV9" i="2"/>
  <c r="CQ9" i="2"/>
  <c r="CL9" i="2"/>
  <c r="CK9" i="2"/>
  <c r="CJ9" i="2"/>
  <c r="CI9" i="2"/>
  <c r="CH9" i="2"/>
  <c r="CG9" i="2"/>
  <c r="CF9" i="2"/>
  <c r="CE9" i="2"/>
  <c r="CC9" i="2"/>
  <c r="CB9" i="2"/>
  <c r="BW9" i="2"/>
  <c r="BV9" i="2"/>
  <c r="BU9" i="2"/>
  <c r="BT9" i="2"/>
  <c r="BS9" i="2"/>
  <c r="BR9" i="2"/>
  <c r="BQ9" i="2"/>
  <c r="BJ9" i="2"/>
  <c r="BG9" i="2"/>
  <c r="BF9" i="2"/>
  <c r="BE9" i="2"/>
  <c r="BD9" i="2"/>
  <c r="BC9" i="2"/>
  <c r="BB9" i="2"/>
  <c r="DS9" i="2" s="1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F9" i="2"/>
  <c r="DH8" i="2"/>
  <c r="CY8" i="2"/>
  <c r="CW8" i="2"/>
  <c r="CV8" i="2"/>
  <c r="CQ8" i="2"/>
  <c r="CL8" i="2"/>
  <c r="CK8" i="2"/>
  <c r="CJ8" i="2"/>
  <c r="CI8" i="2"/>
  <c r="CH8" i="2"/>
  <c r="CG8" i="2"/>
  <c r="CF8" i="2"/>
  <c r="CE8" i="2"/>
  <c r="CC8" i="2"/>
  <c r="CB8" i="2"/>
  <c r="BW8" i="2"/>
  <c r="BV8" i="2"/>
  <c r="BU8" i="2"/>
  <c r="BT8" i="2"/>
  <c r="BS8" i="2"/>
  <c r="BR8" i="2"/>
  <c r="BQ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DH7" i="2"/>
  <c r="CY7" i="2"/>
  <c r="CW7" i="2"/>
  <c r="CV7" i="2"/>
  <c r="CQ7" i="2"/>
  <c r="CL7" i="2"/>
  <c r="CK7" i="2"/>
  <c r="CJ7" i="2"/>
  <c r="CI7" i="2"/>
  <c r="CH7" i="2"/>
  <c r="CG7" i="2"/>
  <c r="CF7" i="2"/>
  <c r="CE7" i="2"/>
  <c r="CC7" i="2"/>
  <c r="CB7" i="2"/>
  <c r="BW7" i="2"/>
  <c r="BV7" i="2"/>
  <c r="BU7" i="2"/>
  <c r="BT7" i="2"/>
  <c r="BS7" i="2"/>
  <c r="BR7" i="2"/>
  <c r="BQ7" i="2"/>
  <c r="BJ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F7" i="2"/>
  <c r="DH6" i="2"/>
  <c r="CY6" i="2"/>
  <c r="CW6" i="2"/>
  <c r="CV6" i="2"/>
  <c r="CQ6" i="2"/>
  <c r="CL6" i="2"/>
  <c r="CK6" i="2"/>
  <c r="CJ6" i="2"/>
  <c r="CI6" i="2"/>
  <c r="CH6" i="2"/>
  <c r="CG6" i="2"/>
  <c r="CF6" i="2"/>
  <c r="CE6" i="2"/>
  <c r="CC6" i="2"/>
  <c r="CB6" i="2"/>
  <c r="BW6" i="2"/>
  <c r="BV6" i="2"/>
  <c r="BU6" i="2"/>
  <c r="BT6" i="2"/>
  <c r="BS6" i="2"/>
  <c r="BR6" i="2"/>
  <c r="BQ6" i="2"/>
  <c r="BJ6" i="2"/>
  <c r="BI6" i="2"/>
  <c r="BH6" i="2"/>
  <c r="BG6" i="2"/>
  <c r="BF6" i="2"/>
  <c r="BE6" i="2"/>
  <c r="BD6" i="2"/>
  <c r="BC6" i="2"/>
  <c r="BB6" i="2"/>
  <c r="DS6" i="2" s="1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F6" i="2"/>
  <c r="DH5" i="2"/>
  <c r="CY5" i="2"/>
  <c r="CW5" i="2"/>
  <c r="CV5" i="2"/>
  <c r="CQ5" i="2"/>
  <c r="CL5" i="2"/>
  <c r="CK5" i="2"/>
  <c r="CJ5" i="2"/>
  <c r="CI5" i="2"/>
  <c r="CH5" i="2"/>
  <c r="CG5" i="2"/>
  <c r="CF5" i="2"/>
  <c r="CE5" i="2"/>
  <c r="CC5" i="2"/>
  <c r="CB5" i="2"/>
  <c r="BW5" i="2"/>
  <c r="BV5" i="2"/>
  <c r="BU5" i="2"/>
  <c r="BT5" i="2"/>
  <c r="BS5" i="2"/>
  <c r="BR5" i="2"/>
  <c r="BQ5" i="2"/>
  <c r="BJ5" i="2"/>
  <c r="BI5" i="2"/>
  <c r="BH5" i="2"/>
  <c r="BG5" i="2"/>
  <c r="BF5" i="2"/>
  <c r="BE5" i="2"/>
  <c r="BD5" i="2"/>
  <c r="BC5" i="2"/>
  <c r="BB5" i="2"/>
  <c r="BA5" i="2"/>
  <c r="AZ5" i="2"/>
  <c r="AY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P5" i="2"/>
  <c r="O5" i="2"/>
  <c r="N5" i="2"/>
  <c r="M5" i="2"/>
  <c r="L5" i="2"/>
  <c r="K5" i="2"/>
  <c r="J5" i="2"/>
  <c r="I5" i="2"/>
  <c r="H5" i="2"/>
  <c r="F5" i="2"/>
  <c r="DH4" i="2"/>
  <c r="CY4" i="2"/>
  <c r="CW4" i="2"/>
  <c r="CV4" i="2"/>
  <c r="CQ4" i="2"/>
  <c r="CL4" i="2"/>
  <c r="CK4" i="2"/>
  <c r="CJ4" i="2"/>
  <c r="CI4" i="2"/>
  <c r="CH4" i="2"/>
  <c r="CG4" i="2"/>
  <c r="CF4" i="2"/>
  <c r="CE4" i="2"/>
  <c r="CC4" i="2"/>
  <c r="CB4" i="2"/>
  <c r="BW4" i="2"/>
  <c r="BV4" i="2"/>
  <c r="BU4" i="2"/>
  <c r="BT4" i="2"/>
  <c r="BS4" i="2"/>
  <c r="BR4" i="2"/>
  <c r="BQ4" i="2"/>
  <c r="BJ4" i="2"/>
  <c r="BI4" i="2"/>
  <c r="BH4" i="2"/>
  <c r="BG4" i="2"/>
  <c r="BF4" i="2"/>
  <c r="BE4" i="2"/>
  <c r="BD4" i="2"/>
  <c r="BC4" i="2"/>
  <c r="BB4" i="2"/>
  <c r="BA4" i="2"/>
  <c r="AZ4" i="2"/>
  <c r="AY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P4" i="2"/>
  <c r="O4" i="2"/>
  <c r="N4" i="2"/>
  <c r="M4" i="2"/>
  <c r="L4" i="2"/>
  <c r="K4" i="2"/>
  <c r="J4" i="2"/>
  <c r="I4" i="2"/>
  <c r="H4" i="2"/>
  <c r="F4" i="2"/>
  <c r="DH3" i="2"/>
  <c r="CY3" i="2"/>
  <c r="CW3" i="2"/>
  <c r="CV3" i="2"/>
  <c r="CQ3" i="2"/>
  <c r="CL3" i="2"/>
  <c r="CK3" i="2"/>
  <c r="CJ3" i="2"/>
  <c r="CI3" i="2"/>
  <c r="CH3" i="2"/>
  <c r="CG3" i="2"/>
  <c r="CF3" i="2"/>
  <c r="CE3" i="2"/>
  <c r="CC3" i="2"/>
  <c r="CB3" i="2"/>
  <c r="BW3" i="2"/>
  <c r="BV3" i="2"/>
  <c r="BU3" i="2"/>
  <c r="BT3" i="2"/>
  <c r="BS3" i="2"/>
  <c r="BR3" i="2"/>
  <c r="BQ3" i="2"/>
  <c r="BJ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DH2" i="2"/>
  <c r="CY2" i="2"/>
  <c r="CW2" i="2"/>
  <c r="CV2" i="2"/>
  <c r="CQ2" i="2"/>
  <c r="CL2" i="2"/>
  <c r="CK2" i="2"/>
  <c r="CJ2" i="2"/>
  <c r="CI2" i="2"/>
  <c r="CH2" i="2"/>
  <c r="CG2" i="2"/>
  <c r="CF2" i="2"/>
  <c r="CE2" i="2"/>
  <c r="CC2" i="2"/>
  <c r="CB2" i="2"/>
  <c r="BW2" i="2"/>
  <c r="BV2" i="2"/>
  <c r="BU2" i="2"/>
  <c r="BT2" i="2"/>
  <c r="BS2" i="2"/>
  <c r="BR2" i="2"/>
  <c r="BQ2" i="2"/>
  <c r="BJ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F2" i="2"/>
  <c r="BG121" i="1"/>
  <c r="DN119" i="1"/>
  <c r="DM119" i="1"/>
  <c r="DL119" i="1"/>
  <c r="DK119" i="1"/>
  <c r="DJ119" i="1"/>
  <c r="DI119" i="1"/>
  <c r="DH119" i="1"/>
  <c r="DH119" i="2" s="1"/>
  <c r="DG119" i="1"/>
  <c r="DF119" i="1"/>
  <c r="DE119" i="1"/>
  <c r="DD119" i="1"/>
  <c r="DC119" i="1"/>
  <c r="DB119" i="1"/>
  <c r="DA119" i="1"/>
  <c r="CZ119" i="1"/>
  <c r="CY119" i="1"/>
  <c r="CY119" i="2" s="1"/>
  <c r="CX119" i="1"/>
  <c r="CW119" i="1"/>
  <c r="CW119" i="2" s="1"/>
  <c r="CV119" i="1"/>
  <c r="CV119" i="2" s="1"/>
  <c r="CU119" i="1"/>
  <c r="CT119" i="1"/>
  <c r="CS119" i="1"/>
  <c r="CR119" i="1"/>
  <c r="CQ119" i="1"/>
  <c r="CP119" i="1"/>
  <c r="CO119" i="1"/>
  <c r="CN119" i="1"/>
  <c r="CM119" i="1"/>
  <c r="CL119" i="1"/>
  <c r="CL119" i="2" s="1"/>
  <c r="CJ119" i="1"/>
  <c r="CJ119" i="2" s="1"/>
  <c r="CI119" i="1"/>
  <c r="CI119" i="2" s="1"/>
  <c r="CH119" i="1"/>
  <c r="CH119" i="2" s="1"/>
  <c r="CG119" i="1"/>
  <c r="CG119" i="2" s="1"/>
  <c r="CF119" i="1"/>
  <c r="CF119" i="2" s="1"/>
  <c r="CE119" i="1"/>
  <c r="CE119" i="2" s="1"/>
  <c r="CD119" i="1"/>
  <c r="CC119" i="1"/>
  <c r="CB119" i="1"/>
  <c r="CA119" i="1"/>
  <c r="BZ119" i="1"/>
  <c r="BY119" i="1"/>
  <c r="BX119" i="1"/>
  <c r="BW119" i="1"/>
  <c r="BW119" i="2" s="1"/>
  <c r="BV119" i="1"/>
  <c r="BV119" i="2" s="1"/>
  <c r="BU119" i="1"/>
  <c r="BU119" i="2" s="1"/>
  <c r="BT119" i="1"/>
  <c r="BT119" i="2" s="1"/>
  <c r="BS119" i="1"/>
  <c r="BS119" i="2" s="1"/>
  <c r="BR119" i="1"/>
  <c r="BR119" i="2" s="1"/>
  <c r="BQ119" i="1"/>
  <c r="BQ119" i="2" s="1"/>
  <c r="BP119" i="1"/>
  <c r="BO119" i="1"/>
  <c r="BN119" i="1"/>
  <c r="BM119" i="1"/>
  <c r="BL119" i="1"/>
  <c r="BK119" i="1"/>
  <c r="BJ119" i="1"/>
  <c r="BG119" i="1"/>
  <c r="BF119" i="1"/>
  <c r="BE119" i="1"/>
  <c r="BD119" i="1"/>
  <c r="BC119" i="1"/>
  <c r="BB119" i="1"/>
  <c r="BA119" i="1"/>
  <c r="AZ119" i="1"/>
  <c r="AY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Y119" i="1"/>
  <c r="X119" i="1"/>
  <c r="W119" i="1"/>
  <c r="V119" i="1"/>
  <c r="U119" i="1"/>
  <c r="T119" i="1"/>
  <c r="S119" i="1"/>
  <c r="R119" i="1"/>
  <c r="P119" i="1"/>
  <c r="N119" i="1"/>
  <c r="M119" i="1"/>
  <c r="L119" i="1"/>
  <c r="K119" i="1"/>
  <c r="J119" i="1"/>
  <c r="I119" i="1"/>
  <c r="H119" i="1"/>
  <c r="G119" i="1"/>
  <c r="E119" i="1"/>
  <c r="EB118" i="1"/>
  <c r="EA118" i="1"/>
  <c r="DZ118" i="1"/>
  <c r="DY118" i="1"/>
  <c r="DX118" i="1"/>
  <c r="DW118" i="1"/>
  <c r="DV118" i="1"/>
  <c r="DR118" i="1"/>
  <c r="EE118" i="1" s="1"/>
  <c r="DQ118" i="1"/>
  <c r="ED118" i="1" s="1"/>
  <c r="DO118" i="1"/>
  <c r="F118" i="1"/>
  <c r="EB117" i="1"/>
  <c r="EA117" i="1"/>
  <c r="DZ117" i="1"/>
  <c r="DY117" i="1"/>
  <c r="DX117" i="1"/>
  <c r="DW117" i="1"/>
  <c r="DV117" i="1"/>
  <c r="DQ117" i="1"/>
  <c r="ED117" i="1" s="1"/>
  <c r="AW117" i="1"/>
  <c r="AW117" i="2" s="1"/>
  <c r="F117" i="1"/>
  <c r="EB116" i="1"/>
  <c r="EA116" i="1"/>
  <c r="DZ116" i="1"/>
  <c r="DY116" i="1"/>
  <c r="DX116" i="1"/>
  <c r="DW116" i="1"/>
  <c r="DV116" i="1"/>
  <c r="DQ116" i="1"/>
  <c r="ED116" i="1" s="1"/>
  <c r="AW116" i="1"/>
  <c r="AW116" i="2" s="1"/>
  <c r="F116" i="1"/>
  <c r="EB115" i="1"/>
  <c r="EA115" i="1"/>
  <c r="DZ115" i="1"/>
  <c r="DY115" i="1"/>
  <c r="DX115" i="1"/>
  <c r="DW115" i="1"/>
  <c r="DV115" i="1"/>
  <c r="DR115" i="1"/>
  <c r="EE115" i="1" s="1"/>
  <c r="DO115" i="1"/>
  <c r="BI115" i="1"/>
  <c r="BI115" i="2" s="1"/>
  <c r="BH115" i="1"/>
  <c r="BH115" i="2" s="1"/>
  <c r="F115" i="1"/>
  <c r="EB114" i="1"/>
  <c r="EA114" i="1"/>
  <c r="DZ114" i="1"/>
  <c r="DY114" i="1"/>
  <c r="DX114" i="1"/>
  <c r="DW114" i="1"/>
  <c r="DV114" i="1"/>
  <c r="DR114" i="1"/>
  <c r="EE114" i="1" s="1"/>
  <c r="BI114" i="1"/>
  <c r="BI114" i="2" s="1"/>
  <c r="BH114" i="1"/>
  <c r="BH114" i="2" s="1"/>
  <c r="Z114" i="1"/>
  <c r="Z114" i="2" s="1"/>
  <c r="F114" i="1"/>
  <c r="EB113" i="1"/>
  <c r="EA113" i="1"/>
  <c r="DZ113" i="1"/>
  <c r="DY113" i="1"/>
  <c r="DX113" i="1"/>
  <c r="DW113" i="1"/>
  <c r="DV113" i="1"/>
  <c r="DR113" i="1"/>
  <c r="EE113" i="1" s="1"/>
  <c r="DO113" i="1"/>
  <c r="BI113" i="1"/>
  <c r="BI113" i="2" s="1"/>
  <c r="BH113" i="1"/>
  <c r="BH113" i="2" s="1"/>
  <c r="F113" i="1"/>
  <c r="EB112" i="1"/>
  <c r="EA112" i="1"/>
  <c r="DZ112" i="1"/>
  <c r="DY112" i="1"/>
  <c r="DX112" i="1"/>
  <c r="DW112" i="1"/>
  <c r="DV112" i="1"/>
  <c r="DR112" i="1"/>
  <c r="EE112" i="1" s="1"/>
  <c r="DQ112" i="1"/>
  <c r="ED112" i="1" s="1"/>
  <c r="DO112" i="1"/>
  <c r="F112" i="1"/>
  <c r="EB111" i="1"/>
  <c r="EA111" i="1"/>
  <c r="DZ111" i="1"/>
  <c r="DY111" i="1"/>
  <c r="DX111" i="1"/>
  <c r="DW111" i="1"/>
  <c r="DV111" i="1"/>
  <c r="DR111" i="1"/>
  <c r="EE111" i="1" s="1"/>
  <c r="DO111" i="1"/>
  <c r="BI111" i="1"/>
  <c r="BI111" i="2" s="1"/>
  <c r="BH111" i="1"/>
  <c r="BH111" i="2" s="1"/>
  <c r="F111" i="1"/>
  <c r="EB110" i="1"/>
  <c r="EA110" i="1"/>
  <c r="DZ110" i="1"/>
  <c r="DY110" i="1"/>
  <c r="DX110" i="1"/>
  <c r="DW110" i="1"/>
  <c r="DV110" i="1"/>
  <c r="DR110" i="1"/>
  <c r="EE110" i="1" s="1"/>
  <c r="DQ110" i="1"/>
  <c r="ED110" i="1" s="1"/>
  <c r="DO110" i="1"/>
  <c r="F110" i="1"/>
  <c r="EB109" i="1"/>
  <c r="EA109" i="1"/>
  <c r="DZ109" i="1"/>
  <c r="DY109" i="1"/>
  <c r="DX109" i="1"/>
  <c r="DW109" i="1"/>
  <c r="DV109" i="1"/>
  <c r="DR109" i="1"/>
  <c r="EE109" i="1" s="1"/>
  <c r="DO109" i="1"/>
  <c r="BI109" i="1"/>
  <c r="BI109" i="2" s="1"/>
  <c r="BH109" i="1"/>
  <c r="BH109" i="2" s="1"/>
  <c r="F109" i="1"/>
  <c r="EB108" i="1"/>
  <c r="EA108" i="1"/>
  <c r="DZ108" i="1"/>
  <c r="DY108" i="1"/>
  <c r="DX108" i="1"/>
  <c r="DW108" i="1"/>
  <c r="DV108" i="1"/>
  <c r="BI108" i="1"/>
  <c r="BI108" i="2" s="1"/>
  <c r="BH108" i="1"/>
  <c r="BH108" i="2" s="1"/>
  <c r="AA108" i="1"/>
  <c r="AA108" i="2" s="1"/>
  <c r="F108" i="1"/>
  <c r="EB107" i="1"/>
  <c r="EA107" i="1"/>
  <c r="DZ107" i="1"/>
  <c r="DY107" i="1"/>
  <c r="DX107" i="1"/>
  <c r="DW107" i="1"/>
  <c r="DV107" i="1"/>
  <c r="DR107" i="1"/>
  <c r="EE107" i="1" s="1"/>
  <c r="DQ107" i="1"/>
  <c r="ED107" i="1" s="1"/>
  <c r="DO107" i="1"/>
  <c r="F107" i="1"/>
  <c r="EB106" i="1"/>
  <c r="EA106" i="1"/>
  <c r="DZ106" i="1"/>
  <c r="DY106" i="1"/>
  <c r="DX106" i="1"/>
  <c r="DW106" i="1"/>
  <c r="DV106" i="1"/>
  <c r="DR106" i="1"/>
  <c r="EE106" i="1" s="1"/>
  <c r="DO106" i="1"/>
  <c r="BI106" i="1"/>
  <c r="BI106" i="2" s="1"/>
  <c r="BH106" i="1"/>
  <c r="BH106" i="2" s="1"/>
  <c r="F106" i="1"/>
  <c r="EB105" i="1"/>
  <c r="EA105" i="1"/>
  <c r="DZ105" i="1"/>
  <c r="DY105" i="1"/>
  <c r="DX105" i="1"/>
  <c r="DW105" i="1"/>
  <c r="DV105" i="1"/>
  <c r="DR105" i="1"/>
  <c r="EE105" i="1" s="1"/>
  <c r="DO105" i="1"/>
  <c r="BI105" i="1"/>
  <c r="BI105" i="2" s="1"/>
  <c r="BH105" i="1"/>
  <c r="BH105" i="2" s="1"/>
  <c r="F105" i="1"/>
  <c r="EB104" i="1"/>
  <c r="EA104" i="1"/>
  <c r="DZ104" i="1"/>
  <c r="DY104" i="1"/>
  <c r="DX104" i="1"/>
  <c r="DW104" i="1"/>
  <c r="DV104" i="1"/>
  <c r="DR104" i="1"/>
  <c r="EE104" i="1" s="1"/>
  <c r="DO104" i="1"/>
  <c r="BI104" i="1"/>
  <c r="BI104" i="2" s="1"/>
  <c r="BH104" i="1"/>
  <c r="BH104" i="2" s="1"/>
  <c r="F104" i="1"/>
  <c r="EB103" i="1"/>
  <c r="EA103" i="1"/>
  <c r="DZ103" i="1"/>
  <c r="DY103" i="1"/>
  <c r="DX103" i="1"/>
  <c r="DW103" i="1"/>
  <c r="DV103" i="1"/>
  <c r="DR103" i="1"/>
  <c r="EE103" i="1" s="1"/>
  <c r="DO103" i="1"/>
  <c r="BI103" i="1"/>
  <c r="BI103" i="2" s="1"/>
  <c r="BH103" i="1"/>
  <c r="BH103" i="2" s="1"/>
  <c r="F103" i="1"/>
  <c r="EB102" i="1"/>
  <c r="EA102" i="1"/>
  <c r="DZ102" i="1"/>
  <c r="DY102" i="1"/>
  <c r="DX102" i="1"/>
  <c r="DW102" i="1"/>
  <c r="DV102" i="1"/>
  <c r="DR102" i="1"/>
  <c r="EE102" i="1" s="1"/>
  <c r="DQ102" i="1"/>
  <c r="ED102" i="1" s="1"/>
  <c r="DO102" i="1"/>
  <c r="F102" i="1"/>
  <c r="EB101" i="1"/>
  <c r="EA101" i="1"/>
  <c r="DZ101" i="1"/>
  <c r="DY101" i="1"/>
  <c r="DX101" i="1"/>
  <c r="DW101" i="1"/>
  <c r="DV101" i="1"/>
  <c r="DR101" i="1"/>
  <c r="EE101" i="1" s="1"/>
  <c r="DQ101" i="1"/>
  <c r="DO101" i="1"/>
  <c r="F101" i="1"/>
  <c r="EB100" i="1"/>
  <c r="EA100" i="1"/>
  <c r="DZ100" i="1"/>
  <c r="DY100" i="1"/>
  <c r="DX100" i="1"/>
  <c r="DW100" i="1"/>
  <c r="DV100" i="1"/>
  <c r="DR100" i="1"/>
  <c r="EE100" i="1" s="1"/>
  <c r="DO100" i="1"/>
  <c r="BI100" i="1"/>
  <c r="F100" i="1"/>
  <c r="EB99" i="1"/>
  <c r="EA99" i="1"/>
  <c r="DZ99" i="1"/>
  <c r="DY99" i="1"/>
  <c r="DX99" i="1"/>
  <c r="DW99" i="1"/>
  <c r="DV99" i="1"/>
  <c r="DR99" i="1"/>
  <c r="EE99" i="1" s="1"/>
  <c r="DO99" i="1"/>
  <c r="BI99" i="1"/>
  <c r="BI99" i="2" s="1"/>
  <c r="BH99" i="1"/>
  <c r="F99" i="1"/>
  <c r="EB98" i="1"/>
  <c r="EA98" i="1"/>
  <c r="DZ98" i="1"/>
  <c r="DY98" i="1"/>
  <c r="DX98" i="1"/>
  <c r="DW98" i="1"/>
  <c r="DV98" i="1"/>
  <c r="DR98" i="1"/>
  <c r="EE98" i="1" s="1"/>
  <c r="DQ98" i="1"/>
  <c r="ED98" i="1" s="1"/>
  <c r="DO98" i="1"/>
  <c r="F98" i="1"/>
  <c r="EB97" i="1"/>
  <c r="EA97" i="1"/>
  <c r="DZ97" i="1"/>
  <c r="DY97" i="1"/>
  <c r="DX97" i="1"/>
  <c r="DW97" i="1"/>
  <c r="DV97" i="1"/>
  <c r="DR97" i="1"/>
  <c r="EE97" i="1" s="1"/>
  <c r="DO97" i="1"/>
  <c r="BI97" i="1"/>
  <c r="BI97" i="2" s="1"/>
  <c r="BH97" i="1"/>
  <c r="BH97" i="2" s="1"/>
  <c r="F97" i="1"/>
  <c r="EB96" i="1"/>
  <c r="EA96" i="1"/>
  <c r="DZ96" i="1"/>
  <c r="DY96" i="1"/>
  <c r="DX96" i="1"/>
  <c r="DW96" i="1"/>
  <c r="DV96" i="1"/>
  <c r="DR96" i="1"/>
  <c r="EE96" i="1" s="1"/>
  <c r="DQ96" i="1"/>
  <c r="DO96" i="1"/>
  <c r="F96" i="1"/>
  <c r="EB95" i="1"/>
  <c r="EA95" i="1"/>
  <c r="DZ95" i="1"/>
  <c r="DY95" i="1"/>
  <c r="DX95" i="1"/>
  <c r="DW95" i="1"/>
  <c r="DV95" i="1"/>
  <c r="DR95" i="1"/>
  <c r="EE95" i="1" s="1"/>
  <c r="DQ95" i="1"/>
  <c r="ED95" i="1" s="1"/>
  <c r="Z95" i="1"/>
  <c r="Z95" i="2" s="1"/>
  <c r="F95" i="1"/>
  <c r="EB94" i="1"/>
  <c r="EA94" i="1"/>
  <c r="DZ94" i="1"/>
  <c r="DY94" i="1"/>
  <c r="DX94" i="1"/>
  <c r="DW94" i="1"/>
  <c r="DV94" i="1"/>
  <c r="DR94" i="1"/>
  <c r="EE94" i="1" s="1"/>
  <c r="BI94" i="1"/>
  <c r="BI94" i="2" s="1"/>
  <c r="BH94" i="1"/>
  <c r="BH94" i="2" s="1"/>
  <c r="Z94" i="1"/>
  <c r="Z94" i="2" s="1"/>
  <c r="F94" i="1"/>
  <c r="EB93" i="1"/>
  <c r="EA93" i="1"/>
  <c r="DZ93" i="1"/>
  <c r="DY93" i="1"/>
  <c r="DX93" i="1"/>
  <c r="DW93" i="1"/>
  <c r="DV93" i="1"/>
  <c r="DR93" i="1"/>
  <c r="EE93" i="1" s="1"/>
  <c r="DQ93" i="1"/>
  <c r="ED93" i="1" s="1"/>
  <c r="DO93" i="1"/>
  <c r="F93" i="1"/>
  <c r="EB92" i="1"/>
  <c r="EA92" i="1"/>
  <c r="DZ92" i="1"/>
  <c r="DY92" i="1"/>
  <c r="DX92" i="1"/>
  <c r="DW92" i="1"/>
  <c r="DV92" i="1"/>
  <c r="DR92" i="1"/>
  <c r="EE92" i="1" s="1"/>
  <c r="DQ92" i="1"/>
  <c r="ED92" i="1" s="1"/>
  <c r="DO92" i="1"/>
  <c r="F92" i="1"/>
  <c r="EB91" i="1"/>
  <c r="EA91" i="1"/>
  <c r="DZ91" i="1"/>
  <c r="DY91" i="1"/>
  <c r="DX91" i="1"/>
  <c r="DW91" i="1"/>
  <c r="DV91" i="1"/>
  <c r="DR91" i="1"/>
  <c r="EE91" i="1" s="1"/>
  <c r="DQ91" i="1"/>
  <c r="ED91" i="1" s="1"/>
  <c r="DO91" i="1"/>
  <c r="F91" i="1"/>
  <c r="EB90" i="1"/>
  <c r="EA90" i="1"/>
  <c r="DZ90" i="1"/>
  <c r="DY90" i="1"/>
  <c r="DX90" i="1"/>
  <c r="DW90" i="1"/>
  <c r="DV90" i="1"/>
  <c r="DR90" i="1"/>
  <c r="EE90" i="1" s="1"/>
  <c r="DO90" i="1"/>
  <c r="BI90" i="1"/>
  <c r="BI90" i="2" s="1"/>
  <c r="BH90" i="1"/>
  <c r="BH90" i="2" s="1"/>
  <c r="F90" i="1"/>
  <c r="EB89" i="1"/>
  <c r="EA89" i="1"/>
  <c r="DZ89" i="1"/>
  <c r="DY89" i="1"/>
  <c r="DX89" i="1"/>
  <c r="DW89" i="1"/>
  <c r="DV89" i="1"/>
  <c r="DR89" i="1"/>
  <c r="EE89" i="1" s="1"/>
  <c r="DQ89" i="1"/>
  <c r="ED89" i="1" s="1"/>
  <c r="Z89" i="1"/>
  <c r="Z89" i="2" s="1"/>
  <c r="F89" i="1"/>
  <c r="EB88" i="1"/>
  <c r="EA88" i="1"/>
  <c r="DZ88" i="1"/>
  <c r="DY88" i="1"/>
  <c r="DX88" i="1"/>
  <c r="DW88" i="1"/>
  <c r="DV88" i="1"/>
  <c r="DR88" i="1"/>
  <c r="EE88" i="1" s="1"/>
  <c r="DQ88" i="1"/>
  <c r="ED88" i="1" s="1"/>
  <c r="DO88" i="1"/>
  <c r="F88" i="1"/>
  <c r="EB87" i="1"/>
  <c r="EA87" i="1"/>
  <c r="DZ87" i="1"/>
  <c r="DY87" i="1"/>
  <c r="DX87" i="1"/>
  <c r="DW87" i="1"/>
  <c r="DV87" i="1"/>
  <c r="DQ87" i="1"/>
  <c r="ED87" i="1" s="1"/>
  <c r="AW87" i="1"/>
  <c r="AW87" i="2" s="1"/>
  <c r="F87" i="1"/>
  <c r="EB86" i="1"/>
  <c r="EA86" i="1"/>
  <c r="DZ86" i="1"/>
  <c r="DY86" i="1"/>
  <c r="DX86" i="1"/>
  <c r="DW86" i="1"/>
  <c r="DV86" i="1"/>
  <c r="DQ86" i="1"/>
  <c r="ED86" i="1" s="1"/>
  <c r="AW86" i="1"/>
  <c r="AW86" i="2" s="1"/>
  <c r="F86" i="1"/>
  <c r="EB85" i="1"/>
  <c r="EA85" i="1"/>
  <c r="DZ85" i="1"/>
  <c r="DY85" i="1"/>
  <c r="DX85" i="1"/>
  <c r="DW85" i="1"/>
  <c r="DV85" i="1"/>
  <c r="DR85" i="1"/>
  <c r="EE85" i="1" s="1"/>
  <c r="DO85" i="1"/>
  <c r="BI85" i="1"/>
  <c r="BI85" i="2" s="1"/>
  <c r="F85" i="1"/>
  <c r="EB84" i="1"/>
  <c r="EA84" i="1"/>
  <c r="DZ84" i="1"/>
  <c r="DY84" i="1"/>
  <c r="DX84" i="1"/>
  <c r="DW84" i="1"/>
  <c r="DV84" i="1"/>
  <c r="BI84" i="1"/>
  <c r="BI84" i="2" s="1"/>
  <c r="BH84" i="1"/>
  <c r="BH84" i="2" s="1"/>
  <c r="AA84" i="1"/>
  <c r="AA84" i="2" s="1"/>
  <c r="F84" i="1"/>
  <c r="EB83" i="1"/>
  <c r="EA83" i="1"/>
  <c r="DZ83" i="1"/>
  <c r="DY83" i="1"/>
  <c r="DX83" i="1"/>
  <c r="DW83" i="1"/>
  <c r="DV83" i="1"/>
  <c r="DR83" i="1"/>
  <c r="EE83" i="1" s="1"/>
  <c r="DO83" i="1"/>
  <c r="BI83" i="1"/>
  <c r="BI83" i="2" s="1"/>
  <c r="BH83" i="1"/>
  <c r="BH83" i="2" s="1"/>
  <c r="F83" i="1"/>
  <c r="EB82" i="1"/>
  <c r="EA82" i="1"/>
  <c r="DZ82" i="1"/>
  <c r="DY82" i="1"/>
  <c r="DX82" i="1"/>
  <c r="DW82" i="1"/>
  <c r="DV82" i="1"/>
  <c r="DR82" i="1"/>
  <c r="EE82" i="1" s="1"/>
  <c r="DO82" i="1"/>
  <c r="BI82" i="1"/>
  <c r="BI82" i="2" s="1"/>
  <c r="BH82" i="1"/>
  <c r="BH82" i="2" s="1"/>
  <c r="F82" i="1"/>
  <c r="EB81" i="1"/>
  <c r="EA81" i="1"/>
  <c r="DZ81" i="1"/>
  <c r="DY81" i="1"/>
  <c r="DX81" i="1"/>
  <c r="DW81" i="1"/>
  <c r="DV81" i="1"/>
  <c r="DR81" i="1"/>
  <c r="EE81" i="1" s="1"/>
  <c r="BI81" i="1"/>
  <c r="BI81" i="2" s="1"/>
  <c r="BH81" i="1"/>
  <c r="Z81" i="1"/>
  <c r="Z81" i="2" s="1"/>
  <c r="F81" i="1"/>
  <c r="EB80" i="1"/>
  <c r="EA80" i="1"/>
  <c r="DZ80" i="1"/>
  <c r="DY80" i="1"/>
  <c r="DX80" i="1"/>
  <c r="DW80" i="1"/>
  <c r="DV80" i="1"/>
  <c r="DR80" i="1"/>
  <c r="DQ80" i="1"/>
  <c r="ED80" i="1" s="1"/>
  <c r="DO80" i="1"/>
  <c r="F80" i="1"/>
  <c r="EB79" i="1"/>
  <c r="EA79" i="1"/>
  <c r="DZ79" i="1"/>
  <c r="DY79" i="1"/>
  <c r="DX79" i="1"/>
  <c r="DW79" i="1"/>
  <c r="DV79" i="1"/>
  <c r="DR79" i="1"/>
  <c r="DQ79" i="1"/>
  <c r="ED79" i="1" s="1"/>
  <c r="DO79" i="1"/>
  <c r="F79" i="1"/>
  <c r="EB78" i="1"/>
  <c r="EA78" i="1"/>
  <c r="DZ78" i="1"/>
  <c r="DY78" i="1"/>
  <c r="DX78" i="1"/>
  <c r="DW78" i="1"/>
  <c r="DV78" i="1"/>
  <c r="DR78" i="1"/>
  <c r="EE78" i="1" s="1"/>
  <c r="DO78" i="1"/>
  <c r="BI78" i="1"/>
  <c r="BI78" i="2" s="1"/>
  <c r="BH78" i="1"/>
  <c r="F78" i="1"/>
  <c r="EB77" i="1"/>
  <c r="EA77" i="1"/>
  <c r="DZ77" i="1"/>
  <c r="DY77" i="1"/>
  <c r="DX77" i="1"/>
  <c r="DW77" i="1"/>
  <c r="DV77" i="1"/>
  <c r="DR77" i="1"/>
  <c r="EE77" i="1" s="1"/>
  <c r="DO77" i="1"/>
  <c r="BI77" i="1"/>
  <c r="BH77" i="1"/>
  <c r="BH77" i="2" s="1"/>
  <c r="F77" i="1"/>
  <c r="EB76" i="1"/>
  <c r="EA76" i="1"/>
  <c r="DZ76" i="1"/>
  <c r="DY76" i="1"/>
  <c r="DX76" i="1"/>
  <c r="DW76" i="1"/>
  <c r="DV76" i="1"/>
  <c r="DR76" i="1"/>
  <c r="EE76" i="1" s="1"/>
  <c r="DQ76" i="1"/>
  <c r="ED76" i="1" s="1"/>
  <c r="DO76" i="1"/>
  <c r="F76" i="1"/>
  <c r="EB75" i="1"/>
  <c r="EA75" i="1"/>
  <c r="DZ75" i="1"/>
  <c r="DY75" i="1"/>
  <c r="DX75" i="1"/>
  <c r="DW75" i="1"/>
  <c r="DV75" i="1"/>
  <c r="DR75" i="1"/>
  <c r="EE75" i="1" s="1"/>
  <c r="DO75" i="1"/>
  <c r="BI75" i="1"/>
  <c r="BI75" i="2" s="1"/>
  <c r="BH75" i="1"/>
  <c r="F75" i="1"/>
  <c r="EB74" i="1"/>
  <c r="EA74" i="1"/>
  <c r="DZ74" i="1"/>
  <c r="DY74" i="1"/>
  <c r="DX74" i="1"/>
  <c r="DW74" i="1"/>
  <c r="DV74" i="1"/>
  <c r="DR74" i="1"/>
  <c r="EE74" i="1" s="1"/>
  <c r="DO74" i="1"/>
  <c r="BI74" i="1"/>
  <c r="BH74" i="1"/>
  <c r="BH74" i="2" s="1"/>
  <c r="F74" i="1"/>
  <c r="EB73" i="1"/>
  <c r="EA73" i="1"/>
  <c r="DZ73" i="1"/>
  <c r="DY73" i="1"/>
  <c r="DX73" i="1"/>
  <c r="DW73" i="1"/>
  <c r="DV73" i="1"/>
  <c r="DR73" i="1"/>
  <c r="EE73" i="1" s="1"/>
  <c r="DQ73" i="1"/>
  <c r="ED73" i="1" s="1"/>
  <c r="DO73" i="1"/>
  <c r="F73" i="1"/>
  <c r="EB72" i="1"/>
  <c r="EA72" i="1"/>
  <c r="DZ72" i="1"/>
  <c r="DY72" i="1"/>
  <c r="DX72" i="1"/>
  <c r="DW72" i="1"/>
  <c r="DV72" i="1"/>
  <c r="DR72" i="1"/>
  <c r="EE72" i="1" s="1"/>
  <c r="DQ72" i="1"/>
  <c r="ED72" i="1" s="1"/>
  <c r="Z72" i="1"/>
  <c r="Z72" i="2" s="1"/>
  <c r="F72" i="1"/>
  <c r="EB71" i="1"/>
  <c r="EA71" i="1"/>
  <c r="DZ71" i="1"/>
  <c r="DY71" i="1"/>
  <c r="DX71" i="1"/>
  <c r="DW71" i="1"/>
  <c r="DV71" i="1"/>
  <c r="DR71" i="1"/>
  <c r="EE71" i="1" s="1"/>
  <c r="DQ71" i="1"/>
  <c r="ED71" i="1" s="1"/>
  <c r="DO71" i="1"/>
  <c r="F71" i="1"/>
  <c r="EB70" i="1"/>
  <c r="EA70" i="1"/>
  <c r="DZ70" i="1"/>
  <c r="DY70" i="1"/>
  <c r="DX70" i="1"/>
  <c r="DW70" i="1"/>
  <c r="DV70" i="1"/>
  <c r="DR70" i="1"/>
  <c r="EE70" i="1" s="1"/>
  <c r="DO70" i="1"/>
  <c r="BI70" i="1"/>
  <c r="BI70" i="2" s="1"/>
  <c r="BH70" i="1"/>
  <c r="BH70" i="2" s="1"/>
  <c r="F70" i="1"/>
  <c r="EB69" i="1"/>
  <c r="EA69" i="1"/>
  <c r="DZ69" i="1"/>
  <c r="DY69" i="1"/>
  <c r="DX69" i="1"/>
  <c r="DW69" i="1"/>
  <c r="DV69" i="1"/>
  <c r="DR69" i="1"/>
  <c r="EE69" i="1" s="1"/>
  <c r="BI69" i="1"/>
  <c r="BI69" i="2" s="1"/>
  <c r="BH69" i="1"/>
  <c r="BH69" i="2" s="1"/>
  <c r="Z69" i="1"/>
  <c r="Z69" i="2" s="1"/>
  <c r="F69" i="1"/>
  <c r="EB68" i="1"/>
  <c r="EA68" i="1"/>
  <c r="DZ68" i="1"/>
  <c r="DY68" i="1"/>
  <c r="DX68" i="1"/>
  <c r="DW68" i="1"/>
  <c r="DV68" i="1"/>
  <c r="DR68" i="1"/>
  <c r="EE68" i="1" s="1"/>
  <c r="DQ68" i="1"/>
  <c r="ED68" i="1" s="1"/>
  <c r="DO68" i="1"/>
  <c r="F68" i="1"/>
  <c r="EB67" i="1"/>
  <c r="EA67" i="1"/>
  <c r="DZ67" i="1"/>
  <c r="DY67" i="1"/>
  <c r="DX67" i="1"/>
  <c r="DW67" i="1"/>
  <c r="DV67" i="1"/>
  <c r="DR67" i="1"/>
  <c r="DQ67" i="1"/>
  <c r="ED67" i="1" s="1"/>
  <c r="DO67" i="1"/>
  <c r="F67" i="1"/>
  <c r="EB66" i="1"/>
  <c r="EA66" i="1"/>
  <c r="DZ66" i="1"/>
  <c r="DY66" i="1"/>
  <c r="DX66" i="1"/>
  <c r="DW66" i="1"/>
  <c r="DV66" i="1"/>
  <c r="DR66" i="1"/>
  <c r="EE66" i="1" s="1"/>
  <c r="DQ66" i="1"/>
  <c r="ED66" i="1" s="1"/>
  <c r="DO66" i="1"/>
  <c r="F66" i="1"/>
  <c r="EB65" i="1"/>
  <c r="EA65" i="1"/>
  <c r="DZ65" i="1"/>
  <c r="DY65" i="1"/>
  <c r="DX65" i="1"/>
  <c r="DW65" i="1"/>
  <c r="DV65" i="1"/>
  <c r="DR65" i="1"/>
  <c r="EE65" i="1" s="1"/>
  <c r="DO65" i="1"/>
  <c r="BI65" i="1"/>
  <c r="BI65" i="2" s="1"/>
  <c r="BH65" i="1"/>
  <c r="F65" i="1"/>
  <c r="EB64" i="1"/>
  <c r="EA64" i="1"/>
  <c r="DZ64" i="1"/>
  <c r="DY64" i="1"/>
  <c r="DX64" i="1"/>
  <c r="DW64" i="1"/>
  <c r="DV64" i="1"/>
  <c r="DR64" i="1"/>
  <c r="EE64" i="1" s="1"/>
  <c r="DQ64" i="1"/>
  <c r="ED64" i="1" s="1"/>
  <c r="DO64" i="1"/>
  <c r="F64" i="1"/>
  <c r="EB63" i="1"/>
  <c r="EA63" i="1"/>
  <c r="DZ63" i="1"/>
  <c r="DY63" i="1"/>
  <c r="DX63" i="1"/>
  <c r="DW63" i="1"/>
  <c r="DV63" i="1"/>
  <c r="DR63" i="1"/>
  <c r="EE63" i="1" s="1"/>
  <c r="DO63" i="1"/>
  <c r="BI63" i="1"/>
  <c r="BI63" i="2" s="1"/>
  <c r="BH63" i="1"/>
  <c r="BH63" i="2" s="1"/>
  <c r="F63" i="1"/>
  <c r="EB62" i="1"/>
  <c r="EA62" i="1"/>
  <c r="DZ62" i="1"/>
  <c r="DY62" i="1"/>
  <c r="DX62" i="1"/>
  <c r="DW62" i="1"/>
  <c r="DV62" i="1"/>
  <c r="DR62" i="1"/>
  <c r="DQ62" i="1"/>
  <c r="ED62" i="1" s="1"/>
  <c r="DO62" i="1"/>
  <c r="F62" i="1"/>
  <c r="EB61" i="1"/>
  <c r="EA61" i="1"/>
  <c r="DZ61" i="1"/>
  <c r="DY61" i="1"/>
  <c r="DX61" i="1"/>
  <c r="DW61" i="1"/>
  <c r="DV61" i="1"/>
  <c r="DR61" i="1"/>
  <c r="EE61" i="1" s="1"/>
  <c r="DQ61" i="1"/>
  <c r="ED61" i="1" s="1"/>
  <c r="DO61" i="1"/>
  <c r="F61" i="1"/>
  <c r="EB60" i="1"/>
  <c r="EA60" i="1"/>
  <c r="DZ60" i="1"/>
  <c r="DY60" i="1"/>
  <c r="DX60" i="1"/>
  <c r="DW60" i="1"/>
  <c r="DV60" i="1"/>
  <c r="DR60" i="1"/>
  <c r="EE60" i="1" s="1"/>
  <c r="DQ60" i="1"/>
  <c r="ED60" i="1" s="1"/>
  <c r="DO60" i="1"/>
  <c r="F60" i="1"/>
  <c r="EB59" i="1"/>
  <c r="EA59" i="1"/>
  <c r="DZ59" i="1"/>
  <c r="DY59" i="1"/>
  <c r="DX59" i="1"/>
  <c r="DW59" i="1"/>
  <c r="DV59" i="1"/>
  <c r="DR59" i="1"/>
  <c r="EE59" i="1" s="1"/>
  <c r="DO59" i="1"/>
  <c r="BI59" i="1"/>
  <c r="BI59" i="2" s="1"/>
  <c r="BH59" i="1"/>
  <c r="F59" i="1"/>
  <c r="EB58" i="1"/>
  <c r="EA58" i="1"/>
  <c r="DZ58" i="1"/>
  <c r="DY58" i="1"/>
  <c r="DX58" i="1"/>
  <c r="DW58" i="1"/>
  <c r="DV58" i="1"/>
  <c r="DR58" i="1"/>
  <c r="EE58" i="1" s="1"/>
  <c r="DO58" i="1"/>
  <c r="BI58" i="1"/>
  <c r="BH58" i="1"/>
  <c r="BH58" i="2" s="1"/>
  <c r="F58" i="1"/>
  <c r="EB57" i="1"/>
  <c r="EA57" i="1"/>
  <c r="DZ57" i="1"/>
  <c r="DY57" i="1"/>
  <c r="DX57" i="1"/>
  <c r="DW57" i="1"/>
  <c r="DV57" i="1"/>
  <c r="DR57" i="1"/>
  <c r="EE57" i="1" s="1"/>
  <c r="DO57" i="1"/>
  <c r="BI57" i="1"/>
  <c r="BI57" i="2" s="1"/>
  <c r="BH57" i="1"/>
  <c r="BH57" i="2" s="1"/>
  <c r="F57" i="1"/>
  <c r="EB56" i="1"/>
  <c r="EA56" i="1"/>
  <c r="DZ56" i="1"/>
  <c r="DY56" i="1"/>
  <c r="DX56" i="1"/>
  <c r="DW56" i="1"/>
  <c r="DV56" i="1"/>
  <c r="DR56" i="1"/>
  <c r="EE56" i="1" s="1"/>
  <c r="DO56" i="1"/>
  <c r="BI56" i="1"/>
  <c r="BI56" i="2" s="1"/>
  <c r="BH56" i="1"/>
  <c r="BH56" i="2" s="1"/>
  <c r="F56" i="1"/>
  <c r="EB55" i="1"/>
  <c r="EA55" i="1"/>
  <c r="DZ55" i="1"/>
  <c r="DY55" i="1"/>
  <c r="DX55" i="1"/>
  <c r="DW55" i="1"/>
  <c r="DV55" i="1"/>
  <c r="DR55" i="1"/>
  <c r="EE55" i="1" s="1"/>
  <c r="DQ55" i="1"/>
  <c r="ED55" i="1" s="1"/>
  <c r="DO55" i="1"/>
  <c r="F55" i="1"/>
  <c r="EB54" i="1"/>
  <c r="EA54" i="1"/>
  <c r="DZ54" i="1"/>
  <c r="DY54" i="1"/>
  <c r="DX54" i="1"/>
  <c r="DW54" i="1"/>
  <c r="DV54" i="1"/>
  <c r="DR54" i="1"/>
  <c r="EE54" i="1" s="1"/>
  <c r="DQ54" i="1"/>
  <c r="ED54" i="1" s="1"/>
  <c r="DO54" i="1"/>
  <c r="F54" i="1"/>
  <c r="EB53" i="1"/>
  <c r="EA53" i="1"/>
  <c r="DZ53" i="1"/>
  <c r="DY53" i="1"/>
  <c r="DX53" i="1"/>
  <c r="DW53" i="1"/>
  <c r="DV53" i="1"/>
  <c r="DR53" i="1"/>
  <c r="EE53" i="1" s="1"/>
  <c r="DO53" i="1"/>
  <c r="BI53" i="1"/>
  <c r="BI53" i="2" s="1"/>
  <c r="BH53" i="1"/>
  <c r="F53" i="1"/>
  <c r="EB52" i="1"/>
  <c r="EA52" i="1"/>
  <c r="DZ52" i="1"/>
  <c r="DY52" i="1"/>
  <c r="DX52" i="1"/>
  <c r="DW52" i="1"/>
  <c r="DV52" i="1"/>
  <c r="DR52" i="1"/>
  <c r="EE52" i="1" s="1"/>
  <c r="DO52" i="1"/>
  <c r="BI52" i="1"/>
  <c r="BH52" i="1"/>
  <c r="BH52" i="2" s="1"/>
  <c r="F52" i="1"/>
  <c r="EB51" i="1"/>
  <c r="EA51" i="1"/>
  <c r="DZ51" i="1"/>
  <c r="DY51" i="1"/>
  <c r="DX51" i="1"/>
  <c r="DW51" i="1"/>
  <c r="DV51" i="1"/>
  <c r="DR51" i="1"/>
  <c r="EE51" i="1" s="1"/>
  <c r="DQ51" i="1"/>
  <c r="ED51" i="1" s="1"/>
  <c r="DO51" i="1"/>
  <c r="F51" i="1"/>
  <c r="EB50" i="1"/>
  <c r="EA50" i="1"/>
  <c r="DZ50" i="1"/>
  <c r="DY50" i="1"/>
  <c r="DX50" i="1"/>
  <c r="DW50" i="1"/>
  <c r="DV50" i="1"/>
  <c r="DR50" i="1"/>
  <c r="EE50" i="1" s="1"/>
  <c r="BI50" i="1"/>
  <c r="BI50" i="2" s="1"/>
  <c r="BH50" i="1"/>
  <c r="BH50" i="2" s="1"/>
  <c r="Z50" i="1"/>
  <c r="F50" i="1"/>
  <c r="EB49" i="1"/>
  <c r="EA49" i="1"/>
  <c r="DZ49" i="1"/>
  <c r="DY49" i="1"/>
  <c r="DX49" i="1"/>
  <c r="DW49" i="1"/>
  <c r="DV49" i="1"/>
  <c r="DR49" i="1"/>
  <c r="EE49" i="1" s="1"/>
  <c r="DQ49" i="1"/>
  <c r="ED49" i="1" s="1"/>
  <c r="DO49" i="1"/>
  <c r="F49" i="1"/>
  <c r="EB48" i="1"/>
  <c r="EA48" i="1"/>
  <c r="DZ48" i="1"/>
  <c r="DY48" i="1"/>
  <c r="DX48" i="1"/>
  <c r="DW48" i="1"/>
  <c r="DV48" i="1"/>
  <c r="DR48" i="1"/>
  <c r="EE48" i="1" s="1"/>
  <c r="DQ48" i="1"/>
  <c r="DO48" i="1"/>
  <c r="F48" i="1"/>
  <c r="EB47" i="1"/>
  <c r="EA47" i="1"/>
  <c r="DZ47" i="1"/>
  <c r="DY47" i="1"/>
  <c r="DX47" i="1"/>
  <c r="DW47" i="1"/>
  <c r="DV47" i="1"/>
  <c r="DR47" i="1"/>
  <c r="EE47" i="1" s="1"/>
  <c r="DQ47" i="1"/>
  <c r="ED47" i="1" s="1"/>
  <c r="DO47" i="1"/>
  <c r="F47" i="1"/>
  <c r="EB46" i="1"/>
  <c r="EA46" i="1"/>
  <c r="DZ46" i="1"/>
  <c r="DY46" i="1"/>
  <c r="DX46" i="1"/>
  <c r="DW46" i="1"/>
  <c r="DV46" i="1"/>
  <c r="DR46" i="1"/>
  <c r="EE46" i="1" s="1"/>
  <c r="DQ46" i="1"/>
  <c r="ED46" i="1" s="1"/>
  <c r="DO46" i="1"/>
  <c r="F46" i="1"/>
  <c r="EB45" i="1"/>
  <c r="EA45" i="1"/>
  <c r="DZ45" i="1"/>
  <c r="DY45" i="1"/>
  <c r="DX45" i="1"/>
  <c r="DW45" i="1"/>
  <c r="DV45" i="1"/>
  <c r="DR45" i="1"/>
  <c r="EE45" i="1" s="1"/>
  <c r="DO45" i="1"/>
  <c r="BI45" i="1"/>
  <c r="BI45" i="2" s="1"/>
  <c r="BH45" i="1"/>
  <c r="BH45" i="2" s="1"/>
  <c r="F45" i="1"/>
  <c r="EB44" i="1"/>
  <c r="EA44" i="1"/>
  <c r="DZ44" i="1"/>
  <c r="DY44" i="1"/>
  <c r="DX44" i="1"/>
  <c r="DW44" i="1"/>
  <c r="DV44" i="1"/>
  <c r="DR44" i="1"/>
  <c r="EE44" i="1" s="1"/>
  <c r="DQ44" i="1"/>
  <c r="ED44" i="1" s="1"/>
  <c r="DO44" i="1"/>
  <c r="F44" i="1"/>
  <c r="EB43" i="1"/>
  <c r="EA43" i="1"/>
  <c r="DZ43" i="1"/>
  <c r="DY43" i="1"/>
  <c r="DX43" i="1"/>
  <c r="DW43" i="1"/>
  <c r="DV43" i="1"/>
  <c r="DR43" i="1"/>
  <c r="EE43" i="1" s="1"/>
  <c r="DQ43" i="1"/>
  <c r="ED43" i="1" s="1"/>
  <c r="DO43" i="1"/>
  <c r="F43" i="1"/>
  <c r="EB42" i="1"/>
  <c r="EA42" i="1"/>
  <c r="DZ42" i="1"/>
  <c r="DY42" i="1"/>
  <c r="DX42" i="1"/>
  <c r="DW42" i="1"/>
  <c r="DV42" i="1"/>
  <c r="DR42" i="1"/>
  <c r="EE42" i="1" s="1"/>
  <c r="DO42" i="1"/>
  <c r="BI42" i="1"/>
  <c r="BI42" i="2" s="1"/>
  <c r="BH42" i="1"/>
  <c r="BH42" i="2" s="1"/>
  <c r="F42" i="1"/>
  <c r="EB41" i="1"/>
  <c r="EA41" i="1"/>
  <c r="DZ41" i="1"/>
  <c r="DY41" i="1"/>
  <c r="DX41" i="1"/>
  <c r="DW41" i="1"/>
  <c r="DV41" i="1"/>
  <c r="DR41" i="1"/>
  <c r="EE41" i="1" s="1"/>
  <c r="DO41" i="1"/>
  <c r="BI41" i="1"/>
  <c r="BI41" i="2" s="1"/>
  <c r="BH41" i="1"/>
  <c r="BH41" i="2" s="1"/>
  <c r="F41" i="1"/>
  <c r="EB40" i="1"/>
  <c r="EA40" i="1"/>
  <c r="DZ40" i="1"/>
  <c r="DY40" i="1"/>
  <c r="DX40" i="1"/>
  <c r="DW40" i="1"/>
  <c r="DV40" i="1"/>
  <c r="DR40" i="1"/>
  <c r="EE40" i="1" s="1"/>
  <c r="DQ40" i="1"/>
  <c r="ED40" i="1" s="1"/>
  <c r="DO40" i="1"/>
  <c r="F40" i="1"/>
  <c r="EB39" i="1"/>
  <c r="EA39" i="1"/>
  <c r="DZ39" i="1"/>
  <c r="DY39" i="1"/>
  <c r="DX39" i="1"/>
  <c r="DW39" i="1"/>
  <c r="DV39" i="1"/>
  <c r="DR39" i="1"/>
  <c r="EE39" i="1" s="1"/>
  <c r="DO39" i="1"/>
  <c r="BI39" i="1"/>
  <c r="BI39" i="2" s="1"/>
  <c r="BH39" i="1"/>
  <c r="BH39" i="2" s="1"/>
  <c r="F39" i="1"/>
  <c r="EB38" i="1"/>
  <c r="EA38" i="1"/>
  <c r="DZ38" i="1"/>
  <c r="DY38" i="1"/>
  <c r="DX38" i="1"/>
  <c r="DW38" i="1"/>
  <c r="DV38" i="1"/>
  <c r="DR38" i="1"/>
  <c r="EE38" i="1" s="1"/>
  <c r="DQ38" i="1"/>
  <c r="ED38" i="1" s="1"/>
  <c r="DO38" i="1"/>
  <c r="F38" i="1"/>
  <c r="EB37" i="1"/>
  <c r="EA37" i="1"/>
  <c r="DZ37" i="1"/>
  <c r="DY37" i="1"/>
  <c r="DX37" i="1"/>
  <c r="DW37" i="1"/>
  <c r="DV37" i="1"/>
  <c r="DQ37" i="1"/>
  <c r="ED37" i="1" s="1"/>
  <c r="AA37" i="1"/>
  <c r="AA37" i="2" s="1"/>
  <c r="F37" i="1"/>
  <c r="EB36" i="1"/>
  <c r="EA36" i="1"/>
  <c r="DZ36" i="1"/>
  <c r="DY36" i="1"/>
  <c r="DX36" i="1"/>
  <c r="DW36" i="1"/>
  <c r="DV36" i="1"/>
  <c r="DR36" i="1"/>
  <c r="EE36" i="1" s="1"/>
  <c r="DO36" i="1"/>
  <c r="BI36" i="1"/>
  <c r="BI36" i="2" s="1"/>
  <c r="BH36" i="1"/>
  <c r="BH36" i="2" s="1"/>
  <c r="F36" i="1"/>
  <c r="EB35" i="1"/>
  <c r="EA35" i="1"/>
  <c r="DZ35" i="1"/>
  <c r="DY35" i="1"/>
  <c r="DX35" i="1"/>
  <c r="DW35" i="1"/>
  <c r="DV35" i="1"/>
  <c r="DR35" i="1"/>
  <c r="EE35" i="1" s="1"/>
  <c r="DO35" i="1"/>
  <c r="BI35" i="1"/>
  <c r="BI35" i="2" s="1"/>
  <c r="BH35" i="1"/>
  <c r="BH35" i="2" s="1"/>
  <c r="F35" i="1"/>
  <c r="EB34" i="1"/>
  <c r="EA34" i="1"/>
  <c r="DZ34" i="1"/>
  <c r="DY34" i="1"/>
  <c r="DX34" i="1"/>
  <c r="DW34" i="1"/>
  <c r="DV34" i="1"/>
  <c r="DR34" i="1"/>
  <c r="EE34" i="1" s="1"/>
  <c r="DO34" i="1"/>
  <c r="BI34" i="1"/>
  <c r="BI34" i="2" s="1"/>
  <c r="BH34" i="1"/>
  <c r="BH34" i="2" s="1"/>
  <c r="F34" i="1"/>
  <c r="EB33" i="1"/>
  <c r="EA33" i="1"/>
  <c r="DZ33" i="1"/>
  <c r="DY33" i="1"/>
  <c r="DX33" i="1"/>
  <c r="DW33" i="1"/>
  <c r="DV33" i="1"/>
  <c r="DQ33" i="1"/>
  <c r="ED33" i="1" s="1"/>
  <c r="AW33" i="1"/>
  <c r="AW33" i="2" s="1"/>
  <c r="F33" i="1"/>
  <c r="EB32" i="1"/>
  <c r="EA32" i="1"/>
  <c r="DZ32" i="1"/>
  <c r="DY32" i="1"/>
  <c r="DX32" i="1"/>
  <c r="DW32" i="1"/>
  <c r="DV32" i="1"/>
  <c r="DR32" i="1"/>
  <c r="EE32" i="1" s="1"/>
  <c r="DQ32" i="1"/>
  <c r="ED32" i="1" s="1"/>
  <c r="CK32" i="1"/>
  <c r="F32" i="1"/>
  <c r="EB31" i="1"/>
  <c r="EA31" i="1"/>
  <c r="DZ31" i="1"/>
  <c r="DY31" i="1"/>
  <c r="DX31" i="1"/>
  <c r="DW31" i="1"/>
  <c r="DV31" i="1"/>
  <c r="DR31" i="1"/>
  <c r="EE31" i="1" s="1"/>
  <c r="DQ31" i="1"/>
  <c r="DO31" i="1"/>
  <c r="F31" i="1"/>
  <c r="EB30" i="1"/>
  <c r="EA30" i="1"/>
  <c r="DZ30" i="1"/>
  <c r="DY30" i="1"/>
  <c r="DX30" i="1"/>
  <c r="DW30" i="1"/>
  <c r="DV30" i="1"/>
  <c r="DQ30" i="1"/>
  <c r="ED30" i="1" s="1"/>
  <c r="AW30" i="1"/>
  <c r="AW30" i="2" s="1"/>
  <c r="F30" i="1"/>
  <c r="EB29" i="1"/>
  <c r="EA29" i="1"/>
  <c r="DZ29" i="1"/>
  <c r="DY29" i="1"/>
  <c r="DX29" i="1"/>
  <c r="DW29" i="1"/>
  <c r="DV29" i="1"/>
  <c r="DQ29" i="1"/>
  <c r="ED29" i="1" s="1"/>
  <c r="AW29" i="1"/>
  <c r="AW29" i="2" s="1"/>
  <c r="F29" i="1"/>
  <c r="EB28" i="1"/>
  <c r="EA28" i="1"/>
  <c r="DZ28" i="1"/>
  <c r="DY28" i="1"/>
  <c r="DX28" i="1"/>
  <c r="DW28" i="1"/>
  <c r="DV28" i="1"/>
  <c r="DR28" i="1"/>
  <c r="EE28" i="1" s="1"/>
  <c r="DO28" i="1"/>
  <c r="BI28" i="1"/>
  <c r="BI28" i="2" s="1"/>
  <c r="BH28" i="1"/>
  <c r="BH28" i="2" s="1"/>
  <c r="F28" i="1"/>
  <c r="EB27" i="1"/>
  <c r="EA27" i="1"/>
  <c r="DZ27" i="1"/>
  <c r="DY27" i="1"/>
  <c r="DX27" i="1"/>
  <c r="DW27" i="1"/>
  <c r="DV27" i="1"/>
  <c r="DR27" i="1"/>
  <c r="EE27" i="1" s="1"/>
  <c r="DQ27" i="1"/>
  <c r="ED27" i="1" s="1"/>
  <c r="DO27" i="1"/>
  <c r="F27" i="1"/>
  <c r="EB26" i="1"/>
  <c r="EA26" i="1"/>
  <c r="DZ26" i="1"/>
  <c r="DY26" i="1"/>
  <c r="DX26" i="1"/>
  <c r="DW26" i="1"/>
  <c r="DV26" i="1"/>
  <c r="DR26" i="1"/>
  <c r="EE26" i="1" s="1"/>
  <c r="DQ26" i="1"/>
  <c r="ED26" i="1" s="1"/>
  <c r="DO26" i="1"/>
  <c r="F26" i="1"/>
  <c r="EB25" i="1"/>
  <c r="EA25" i="1"/>
  <c r="DZ25" i="1"/>
  <c r="DY25" i="1"/>
  <c r="DX25" i="1"/>
  <c r="DW25" i="1"/>
  <c r="DV25" i="1"/>
  <c r="DQ25" i="1"/>
  <c r="ED25" i="1" s="1"/>
  <c r="AW25" i="1"/>
  <c r="AW25" i="2" s="1"/>
  <c r="F25" i="1"/>
  <c r="EB24" i="1"/>
  <c r="EA24" i="1"/>
  <c r="DZ24" i="1"/>
  <c r="DY24" i="1"/>
  <c r="DX24" i="1"/>
  <c r="DW24" i="1"/>
  <c r="DV24" i="1"/>
  <c r="DR24" i="1"/>
  <c r="EE24" i="1" s="1"/>
  <c r="DQ24" i="1"/>
  <c r="ED24" i="1" s="1"/>
  <c r="DO24" i="1"/>
  <c r="F24" i="1"/>
  <c r="EB23" i="1"/>
  <c r="EA23" i="1"/>
  <c r="DZ23" i="1"/>
  <c r="DY23" i="1"/>
  <c r="DX23" i="1"/>
  <c r="DW23" i="1"/>
  <c r="DV23" i="1"/>
  <c r="DR23" i="1"/>
  <c r="EE23" i="1" s="1"/>
  <c r="BI23" i="1"/>
  <c r="BI23" i="2" s="1"/>
  <c r="BH23" i="1"/>
  <c r="BH23" i="2" s="1"/>
  <c r="Z23" i="1"/>
  <c r="Z23" i="2" s="1"/>
  <c r="F23" i="1"/>
  <c r="EB22" i="1"/>
  <c r="EA22" i="1"/>
  <c r="DZ22" i="1"/>
  <c r="DY22" i="1"/>
  <c r="DX22" i="1"/>
  <c r="DW22" i="1"/>
  <c r="DV22" i="1"/>
  <c r="DR22" i="1"/>
  <c r="EE22" i="1" s="1"/>
  <c r="DQ22" i="1"/>
  <c r="ED22" i="1" s="1"/>
  <c r="DO22" i="1"/>
  <c r="F22" i="1"/>
  <c r="EB21" i="1"/>
  <c r="EA21" i="1"/>
  <c r="DZ21" i="1"/>
  <c r="DY21" i="1"/>
  <c r="DX21" i="1"/>
  <c r="DW21" i="1"/>
  <c r="DV21" i="1"/>
  <c r="DR21" i="1"/>
  <c r="EE21" i="1" s="1"/>
  <c r="DQ21" i="1"/>
  <c r="ED21" i="1" s="1"/>
  <c r="DO21" i="1"/>
  <c r="F21" i="1"/>
  <c r="EB20" i="1"/>
  <c r="EA20" i="1"/>
  <c r="DZ20" i="1"/>
  <c r="DY20" i="1"/>
  <c r="DX20" i="1"/>
  <c r="DW20" i="1"/>
  <c r="DV20" i="1"/>
  <c r="DR20" i="1"/>
  <c r="EE20" i="1" s="1"/>
  <c r="DQ20" i="1"/>
  <c r="ED20" i="1" s="1"/>
  <c r="DO20" i="1"/>
  <c r="F20" i="1"/>
  <c r="EB19" i="1"/>
  <c r="EA19" i="1"/>
  <c r="DZ19" i="1"/>
  <c r="DY19" i="1"/>
  <c r="DX19" i="1"/>
  <c r="DW19" i="1"/>
  <c r="DV19" i="1"/>
  <c r="DR19" i="1"/>
  <c r="EE19" i="1" s="1"/>
  <c r="DO19" i="1"/>
  <c r="BI19" i="1"/>
  <c r="BI19" i="2" s="1"/>
  <c r="BH19" i="1"/>
  <c r="BH19" i="2" s="1"/>
  <c r="F19" i="1"/>
  <c r="EB18" i="1"/>
  <c r="EA18" i="1"/>
  <c r="DZ18" i="1"/>
  <c r="DY18" i="1"/>
  <c r="DX18" i="1"/>
  <c r="DW18" i="1"/>
  <c r="DV18" i="1"/>
  <c r="DR18" i="1"/>
  <c r="EE18" i="1" s="1"/>
  <c r="DO18" i="1"/>
  <c r="BI18" i="1"/>
  <c r="BI18" i="2" s="1"/>
  <c r="BH18" i="1"/>
  <c r="BH18" i="2" s="1"/>
  <c r="F18" i="1"/>
  <c r="EB17" i="1"/>
  <c r="EA17" i="1"/>
  <c r="DZ17" i="1"/>
  <c r="DY17" i="1"/>
  <c r="DX17" i="1"/>
  <c r="DW17" i="1"/>
  <c r="DV17" i="1"/>
  <c r="DR17" i="1"/>
  <c r="EE17" i="1" s="1"/>
  <c r="DO17" i="1"/>
  <c r="BI17" i="1"/>
  <c r="BH17" i="1"/>
  <c r="BH17" i="2" s="1"/>
  <c r="F17" i="1"/>
  <c r="EB16" i="1"/>
  <c r="EA16" i="1"/>
  <c r="DZ16" i="1"/>
  <c r="DY16" i="1"/>
  <c r="DX16" i="1"/>
  <c r="DW16" i="1"/>
  <c r="DV16" i="1"/>
  <c r="DR16" i="1"/>
  <c r="EE16" i="1" s="1"/>
  <c r="DQ16" i="1"/>
  <c r="ED16" i="1" s="1"/>
  <c r="DO16" i="1"/>
  <c r="F16" i="1"/>
  <c r="EB15" i="1"/>
  <c r="EA15" i="1"/>
  <c r="DZ15" i="1"/>
  <c r="DY15" i="1"/>
  <c r="DX15" i="1"/>
  <c r="DW15" i="1"/>
  <c r="DV15" i="1"/>
  <c r="BI15" i="1"/>
  <c r="BI15" i="2" s="1"/>
  <c r="BH15" i="1"/>
  <c r="AA15" i="1"/>
  <c r="DR15" i="1" s="1"/>
  <c r="EE15" i="1" s="1"/>
  <c r="F15" i="1"/>
  <c r="EB14" i="1"/>
  <c r="EA14" i="1"/>
  <c r="DZ14" i="1"/>
  <c r="DY14" i="1"/>
  <c r="DX14" i="1"/>
  <c r="DW14" i="1"/>
  <c r="DV14" i="1"/>
  <c r="DR14" i="1"/>
  <c r="EE14" i="1" s="1"/>
  <c r="DQ14" i="1"/>
  <c r="ED14" i="1" s="1"/>
  <c r="DO14" i="1"/>
  <c r="F14" i="1"/>
  <c r="EB13" i="1"/>
  <c r="EA13" i="1"/>
  <c r="DZ13" i="1"/>
  <c r="DY13" i="1"/>
  <c r="DX13" i="1"/>
  <c r="DW13" i="1"/>
  <c r="DV13" i="1"/>
  <c r="DR13" i="1"/>
  <c r="EE13" i="1" s="1"/>
  <c r="DO13" i="1"/>
  <c r="BI13" i="1"/>
  <c r="BI13" i="2" s="1"/>
  <c r="BH13" i="1"/>
  <c r="BH13" i="2" s="1"/>
  <c r="F13" i="1"/>
  <c r="EB12" i="1"/>
  <c r="EA12" i="1"/>
  <c r="DZ12" i="1"/>
  <c r="DY12" i="1"/>
  <c r="DX12" i="1"/>
  <c r="DW12" i="1"/>
  <c r="DV12" i="1"/>
  <c r="DR12" i="1"/>
  <c r="EE12" i="1" s="1"/>
  <c r="DQ12" i="1"/>
  <c r="ED12" i="1" s="1"/>
  <c r="DO12" i="1"/>
  <c r="F12" i="1"/>
  <c r="EB11" i="1"/>
  <c r="EA11" i="1"/>
  <c r="DZ11" i="1"/>
  <c r="DY11" i="1"/>
  <c r="DX11" i="1"/>
  <c r="DW11" i="1"/>
  <c r="DV11" i="1"/>
  <c r="DR11" i="1"/>
  <c r="EE11" i="1" s="1"/>
  <c r="DQ11" i="1"/>
  <c r="ED11" i="1" s="1"/>
  <c r="DO11" i="1"/>
  <c r="F11" i="1"/>
  <c r="EB10" i="1"/>
  <c r="EA10" i="1"/>
  <c r="DZ10" i="1"/>
  <c r="DY10" i="1"/>
  <c r="DX10" i="1"/>
  <c r="DW10" i="1"/>
  <c r="DV10" i="1"/>
  <c r="DR10" i="1"/>
  <c r="EE10" i="1" s="1"/>
  <c r="DO10" i="1"/>
  <c r="BI10" i="1"/>
  <c r="BH10" i="1"/>
  <c r="BH10" i="2" s="1"/>
  <c r="F10" i="1"/>
  <c r="EB9" i="1"/>
  <c r="EA9" i="1"/>
  <c r="DZ9" i="1"/>
  <c r="DY9" i="1"/>
  <c r="DX9" i="1"/>
  <c r="DW9" i="1"/>
  <c r="DV9" i="1"/>
  <c r="DR9" i="1"/>
  <c r="EE9" i="1" s="1"/>
  <c r="DO9" i="1"/>
  <c r="BI9" i="1"/>
  <c r="BI9" i="2" s="1"/>
  <c r="BH9" i="1"/>
  <c r="BH9" i="2" s="1"/>
  <c r="F9" i="1"/>
  <c r="EB8" i="1"/>
  <c r="EA8" i="1"/>
  <c r="DZ8" i="1"/>
  <c r="DY8" i="1"/>
  <c r="DX8" i="1"/>
  <c r="DW8" i="1"/>
  <c r="DV8" i="1"/>
  <c r="DR8" i="1"/>
  <c r="EE8" i="1" s="1"/>
  <c r="DQ8" i="1"/>
  <c r="DO8" i="1"/>
  <c r="F8" i="1"/>
  <c r="EB7" i="1"/>
  <c r="EA7" i="1"/>
  <c r="DZ7" i="1"/>
  <c r="DY7" i="1"/>
  <c r="DX7" i="1"/>
  <c r="DW7" i="1"/>
  <c r="DV7" i="1"/>
  <c r="DR7" i="1"/>
  <c r="EE7" i="1" s="1"/>
  <c r="DO7" i="1"/>
  <c r="BI7" i="1"/>
  <c r="BI7" i="2" s="1"/>
  <c r="BH7" i="1"/>
  <c r="F7" i="1"/>
  <c r="EB6" i="1"/>
  <c r="EA6" i="1"/>
  <c r="DZ6" i="1"/>
  <c r="DY6" i="1"/>
  <c r="DX6" i="1"/>
  <c r="DW6" i="1"/>
  <c r="DV6" i="1"/>
  <c r="DR6" i="1"/>
  <c r="EE6" i="1" s="1"/>
  <c r="DQ6" i="1"/>
  <c r="ED6" i="1" s="1"/>
  <c r="DO6" i="1"/>
  <c r="F6" i="1"/>
  <c r="EB5" i="1"/>
  <c r="EA5" i="1"/>
  <c r="DZ5" i="1"/>
  <c r="DY5" i="1"/>
  <c r="DX5" i="1"/>
  <c r="DW5" i="1"/>
  <c r="DV5" i="1"/>
  <c r="DQ5" i="1"/>
  <c r="ED5" i="1" s="1"/>
  <c r="AW5" i="1"/>
  <c r="AW5" i="2" s="1"/>
  <c r="Q5" i="1"/>
  <c r="F5" i="1"/>
  <c r="EB4" i="1"/>
  <c r="EA4" i="1"/>
  <c r="DZ4" i="1"/>
  <c r="DY4" i="1"/>
  <c r="DX4" i="1"/>
  <c r="DW4" i="1"/>
  <c r="DV4" i="1"/>
  <c r="DQ4" i="1"/>
  <c r="ED4" i="1" s="1"/>
  <c r="AW4" i="1"/>
  <c r="AX4" i="1" s="1"/>
  <c r="DR4" i="1" s="1"/>
  <c r="Q4" i="1"/>
  <c r="F4" i="1"/>
  <c r="EB3" i="1"/>
  <c r="EA3" i="1"/>
  <c r="DZ3" i="1"/>
  <c r="DY3" i="1"/>
  <c r="DX3" i="1"/>
  <c r="DW3" i="1"/>
  <c r="DV3" i="1"/>
  <c r="DR3" i="1"/>
  <c r="EE3" i="1" s="1"/>
  <c r="DO3" i="1"/>
  <c r="BI3" i="1"/>
  <c r="BI3" i="2" s="1"/>
  <c r="BH3" i="1"/>
  <c r="BH3" i="2" s="1"/>
  <c r="F3" i="1"/>
  <c r="EB2" i="1"/>
  <c r="EA2" i="1"/>
  <c r="DZ2" i="1"/>
  <c r="DY2" i="1"/>
  <c r="DX2" i="1"/>
  <c r="DW2" i="1"/>
  <c r="DV2" i="1"/>
  <c r="DR2" i="1"/>
  <c r="DO2" i="1"/>
  <c r="BI2" i="1"/>
  <c r="BH2" i="1"/>
  <c r="F2" i="1"/>
  <c r="EA32" i="3" l="1"/>
  <c r="DR32" i="3"/>
  <c r="DR79" i="3"/>
  <c r="EA79" i="3"/>
  <c r="DS79" i="3" s="1"/>
  <c r="EA33" i="3"/>
  <c r="DR33" i="3"/>
  <c r="DR73" i="3"/>
  <c r="EA73" i="3"/>
  <c r="DS73" i="3" s="1"/>
  <c r="EF73" i="3" s="1"/>
  <c r="EG73" i="3" s="1"/>
  <c r="DR41" i="3"/>
  <c r="EA76" i="3"/>
  <c r="DS76" i="3" s="1"/>
  <c r="EF76" i="3" s="1"/>
  <c r="EG76" i="3" s="1"/>
  <c r="EA77" i="3"/>
  <c r="DS77" i="3" s="1"/>
  <c r="EF77" i="3" s="1"/>
  <c r="EG77" i="3" s="1"/>
  <c r="EA46" i="3"/>
  <c r="DR11" i="3"/>
  <c r="EA13" i="3"/>
  <c r="EA105" i="3"/>
  <c r="DS105" i="3" s="1"/>
  <c r="DS27" i="3"/>
  <c r="EF27" i="3" s="1"/>
  <c r="EG27" i="3" s="1"/>
  <c r="DQ28" i="3"/>
  <c r="EE65" i="3"/>
  <c r="EE11" i="3"/>
  <c r="EA65" i="3"/>
  <c r="DS65" i="3" s="1"/>
  <c r="DQ84" i="3"/>
  <c r="ED17" i="3"/>
  <c r="EA21" i="3"/>
  <c r="DS21" i="3" s="1"/>
  <c r="DQ35" i="3"/>
  <c r="EA35" i="3" s="1"/>
  <c r="DQ106" i="3"/>
  <c r="EA115" i="3"/>
  <c r="DP18" i="4"/>
  <c r="DP65" i="4"/>
  <c r="DR6" i="4"/>
  <c r="DQ14" i="4"/>
  <c r="DR15" i="4"/>
  <c r="DN19" i="4"/>
  <c r="DP19" i="4"/>
  <c r="AN125" i="4"/>
  <c r="AN126" i="4" s="1"/>
  <c r="AN127" i="4" s="1"/>
  <c r="AN128" i="4" s="1"/>
  <c r="DN24" i="4"/>
  <c r="DR28" i="4"/>
  <c r="DN31" i="4"/>
  <c r="DP31" i="4"/>
  <c r="DO34" i="4"/>
  <c r="DN36" i="4"/>
  <c r="DP36" i="4"/>
  <c r="DQ38" i="4"/>
  <c r="DR39" i="4"/>
  <c r="DO41" i="4"/>
  <c r="DO48" i="4"/>
  <c r="DO50" i="4"/>
  <c r="DQ54" i="4"/>
  <c r="DR55" i="4"/>
  <c r="DO57" i="4"/>
  <c r="DO59" i="4"/>
  <c r="DO64" i="4"/>
  <c r="DQ66" i="4"/>
  <c r="DR68" i="4"/>
  <c r="DN71" i="4"/>
  <c r="DQ75" i="4"/>
  <c r="DQ77" i="4"/>
  <c r="DO78" i="4"/>
  <c r="DP78" i="4"/>
  <c r="DQ80" i="4"/>
  <c r="DN85" i="4"/>
  <c r="DR88" i="4"/>
  <c r="DO90" i="4"/>
  <c r="DN92" i="4"/>
  <c r="DP92" i="4"/>
  <c r="DQ94" i="4"/>
  <c r="DR95" i="4"/>
  <c r="DN97" i="4"/>
  <c r="DP97" i="4"/>
  <c r="DQ99" i="4"/>
  <c r="DQ101" i="4"/>
  <c r="DO102" i="4"/>
  <c r="DQ104" i="4"/>
  <c r="DR108" i="4"/>
  <c r="DO109" i="4"/>
  <c r="DN111" i="4"/>
  <c r="DP111" i="4"/>
  <c r="DQ113" i="4"/>
  <c r="DQ115" i="4"/>
  <c r="DQ117" i="4"/>
  <c r="DO118" i="4"/>
  <c r="DP21" i="4"/>
  <c r="DP30" i="4"/>
  <c r="DP79" i="4"/>
  <c r="DP8" i="4"/>
  <c r="DO12" i="4"/>
  <c r="DN14" i="4"/>
  <c r="DO24" i="4"/>
  <c r="DN26" i="4"/>
  <c r="DP26" i="4"/>
  <c r="DO31" i="4"/>
  <c r="DQ33" i="4"/>
  <c r="DO36" i="4"/>
  <c r="DN45" i="4"/>
  <c r="DP48" i="4"/>
  <c r="DO52" i="4"/>
  <c r="DN61" i="4"/>
  <c r="DN66" i="4"/>
  <c r="DP66" i="4"/>
  <c r="DP69" i="4"/>
  <c r="DN73" i="4"/>
  <c r="DN75" i="4"/>
  <c r="DQ82" i="4"/>
  <c r="DR84" i="4"/>
  <c r="DN87" i="4"/>
  <c r="DO92" i="4"/>
  <c r="DN94" i="4"/>
  <c r="DN99" i="4"/>
  <c r="DP99" i="4"/>
  <c r="DN106" i="4"/>
  <c r="DP106" i="4"/>
  <c r="DN113" i="4"/>
  <c r="DN115" i="4"/>
  <c r="DP115" i="4"/>
  <c r="BP120" i="4"/>
  <c r="DN7" i="4"/>
  <c r="DQ11" i="4"/>
  <c r="DQ13" i="4"/>
  <c r="DO14" i="4"/>
  <c r="DP14" i="4"/>
  <c r="DQ16" i="4"/>
  <c r="DN21" i="4"/>
  <c r="AO125" i="4"/>
  <c r="AO126" i="4" s="1"/>
  <c r="AO127" i="4" s="1"/>
  <c r="AO128" i="4" s="1"/>
  <c r="DO26" i="4"/>
  <c r="DN28" i="4"/>
  <c r="DP28" i="4"/>
  <c r="DQ30" i="4"/>
  <c r="DN33" i="4"/>
  <c r="DP33" i="4"/>
  <c r="DQ35" i="4"/>
  <c r="DQ37" i="4"/>
  <c r="DO38" i="4"/>
  <c r="DQ40" i="4"/>
  <c r="DO45" i="4"/>
  <c r="DN47" i="4"/>
  <c r="DP47" i="4"/>
  <c r="DQ51" i="4"/>
  <c r="DQ53" i="4"/>
  <c r="DO54" i="4"/>
  <c r="DQ56" i="4"/>
  <c r="DO61" i="4"/>
  <c r="DN63" i="4"/>
  <c r="DP63" i="4"/>
  <c r="DO66" i="4"/>
  <c r="DN68" i="4"/>
  <c r="DP68" i="4"/>
  <c r="DQ70" i="4"/>
  <c r="DO73" i="4"/>
  <c r="DO80" i="4"/>
  <c r="DN82" i="4"/>
  <c r="DP82" i="4"/>
  <c r="DP85" i="4"/>
  <c r="DQ89" i="4"/>
  <c r="DQ91" i="4"/>
  <c r="DQ93" i="4"/>
  <c r="DO94" i="4"/>
  <c r="DP94" i="4"/>
  <c r="DQ96" i="4"/>
  <c r="DO99" i="4"/>
  <c r="DO104" i="4"/>
  <c r="DO106" i="4"/>
  <c r="DQ110" i="4"/>
  <c r="DO113" i="4"/>
  <c r="DO115" i="4"/>
  <c r="DP110" i="4"/>
  <c r="DN13" i="4"/>
  <c r="DP16" i="4"/>
  <c r="DO18" i="4"/>
  <c r="DQ22" i="4"/>
  <c r="DN25" i="4"/>
  <c r="DN27" i="4"/>
  <c r="DN32" i="4"/>
  <c r="DN37" i="4"/>
  <c r="DP40" i="4"/>
  <c r="DO44" i="4"/>
  <c r="DR49" i="4"/>
  <c r="DN53" i="4"/>
  <c r="DP56" i="4"/>
  <c r="DR56" i="4"/>
  <c r="DO60" i="4"/>
  <c r="DN62" i="4"/>
  <c r="DN67" i="4"/>
  <c r="DP67" i="4"/>
  <c r="DN74" i="4"/>
  <c r="DP74" i="4"/>
  <c r="DN81" i="4"/>
  <c r="DP81" i="4"/>
  <c r="DQ83" i="4"/>
  <c r="DQ85" i="4"/>
  <c r="DO86" i="4"/>
  <c r="DQ88" i="4"/>
  <c r="DN93" i="4"/>
  <c r="DN98" i="4"/>
  <c r="DP98" i="4"/>
  <c r="DN105" i="4"/>
  <c r="DN107" i="4"/>
  <c r="DN114" i="4"/>
  <c r="DP114" i="4"/>
  <c r="DP117" i="4"/>
  <c r="DR117" i="4"/>
  <c r="DO119" i="4"/>
  <c r="BG120" i="4"/>
  <c r="J120" i="4"/>
  <c r="R120" i="4"/>
  <c r="Z120" i="4"/>
  <c r="AH120" i="4"/>
  <c r="AP120" i="4"/>
  <c r="BF120" i="4"/>
  <c r="BT120" i="4"/>
  <c r="CG120" i="4"/>
  <c r="DN6" i="4"/>
  <c r="DQ8" i="4"/>
  <c r="DR12" i="4"/>
  <c r="DN15" i="4"/>
  <c r="DP15" i="4"/>
  <c r="DR18" i="4"/>
  <c r="DO20" i="4"/>
  <c r="DN22" i="4"/>
  <c r="DO25" i="4"/>
  <c r="DO27" i="4"/>
  <c r="DO32" i="4"/>
  <c r="DQ34" i="4"/>
  <c r="DR36" i="4"/>
  <c r="DN39" i="4"/>
  <c r="DQ43" i="4"/>
  <c r="DQ45" i="4"/>
  <c r="DO46" i="4"/>
  <c r="DP46" i="4"/>
  <c r="DQ48" i="4"/>
  <c r="DR52" i="4"/>
  <c r="DN55" i="4"/>
  <c r="DQ57" i="4"/>
  <c r="DQ59" i="4"/>
  <c r="DQ61" i="4"/>
  <c r="DO62" i="4"/>
  <c r="DQ64" i="4"/>
  <c r="DR65" i="4"/>
  <c r="DO67" i="4"/>
  <c r="DO72" i="4"/>
  <c r="DO74" i="4"/>
  <c r="DQ78" i="4"/>
  <c r="DR79" i="4"/>
  <c r="DN83" i="4"/>
  <c r="DP83" i="4"/>
  <c r="DN88" i="4"/>
  <c r="DQ90" i="4"/>
  <c r="DR92" i="4"/>
  <c r="DN95" i="4"/>
  <c r="DO98" i="4"/>
  <c r="DN100" i="4"/>
  <c r="DP100" i="4"/>
  <c r="DQ102" i="4"/>
  <c r="DR103" i="4"/>
  <c r="DO105" i="4"/>
  <c r="DO112" i="4"/>
  <c r="DO114" i="4"/>
  <c r="DQ118" i="4"/>
  <c r="DR119" i="4"/>
  <c r="CO120" i="4"/>
  <c r="DP60" i="4"/>
  <c r="DQ62" i="4"/>
  <c r="K120" i="4"/>
  <c r="S120" i="4"/>
  <c r="AI120" i="4"/>
  <c r="AQ120" i="4"/>
  <c r="AY120" i="4"/>
  <c r="DO6" i="4"/>
  <c r="DP6" i="4"/>
  <c r="DN8" i="4"/>
  <c r="DN10" i="4"/>
  <c r="DP10" i="4"/>
  <c r="DR13" i="4"/>
  <c r="DN17" i="4"/>
  <c r="DP17" i="4"/>
  <c r="DQ19" i="4"/>
  <c r="DQ21" i="4"/>
  <c r="DO22" i="4"/>
  <c r="DR25" i="4"/>
  <c r="DN29" i="4"/>
  <c r="DR32" i="4"/>
  <c r="DN34" i="4"/>
  <c r="DP34" i="4"/>
  <c r="DP37" i="4"/>
  <c r="DR37" i="4"/>
  <c r="DN41" i="4"/>
  <c r="DN43" i="4"/>
  <c r="DN50" i="4"/>
  <c r="DP50" i="4"/>
  <c r="DQ50" i="4"/>
  <c r="DP53" i="4"/>
  <c r="DR53" i="4"/>
  <c r="DO55" i="4"/>
  <c r="DN57" i="4"/>
  <c r="DN59" i="4"/>
  <c r="DN64" i="4"/>
  <c r="DN69" i="4"/>
  <c r="DP72" i="4"/>
  <c r="DR72" i="4"/>
  <c r="DR74" i="4"/>
  <c r="DO76" i="4"/>
  <c r="DN78" i="4"/>
  <c r="DR81" i="4"/>
  <c r="DO88" i="4"/>
  <c r="DN90" i="4"/>
  <c r="DP90" i="4"/>
  <c r="DR93" i="4"/>
  <c r="DR98" i="4"/>
  <c r="DO100" i="4"/>
  <c r="DR105" i="4"/>
  <c r="DN109" i="4"/>
  <c r="DP112" i="4"/>
  <c r="DR112" i="4"/>
  <c r="DR113" i="4"/>
  <c r="DR114" i="4"/>
  <c r="DO116" i="4"/>
  <c r="DO111" i="2"/>
  <c r="DS31" i="1"/>
  <c r="DO53" i="2"/>
  <c r="DS53" i="2"/>
  <c r="DS56" i="2"/>
  <c r="DS58" i="2"/>
  <c r="DS60" i="2"/>
  <c r="DS3" i="2"/>
  <c r="DS5" i="2"/>
  <c r="DS7" i="2"/>
  <c r="DS8" i="2"/>
  <c r="DS19" i="2"/>
  <c r="DS44" i="2"/>
  <c r="DS49" i="2"/>
  <c r="DS68" i="2"/>
  <c r="DP70" i="2"/>
  <c r="DO72" i="2"/>
  <c r="DP73" i="2"/>
  <c r="DR97" i="2"/>
  <c r="DP109" i="2"/>
  <c r="DO118" i="2"/>
  <c r="DR84" i="1"/>
  <c r="EE84" i="1" s="1"/>
  <c r="DS71" i="1"/>
  <c r="DS73" i="2"/>
  <c r="DS62" i="1"/>
  <c r="EC62" i="1" s="1"/>
  <c r="DS93" i="1"/>
  <c r="DT93" i="1" s="1"/>
  <c r="DR38" i="2"/>
  <c r="EE62" i="1"/>
  <c r="DS24" i="2"/>
  <c r="DS25" i="2"/>
  <c r="DS32" i="2"/>
  <c r="DS47" i="2"/>
  <c r="AX116" i="1"/>
  <c r="AX116" i="2" s="1"/>
  <c r="DS88" i="1"/>
  <c r="EC88" i="1" s="1"/>
  <c r="DR51" i="2"/>
  <c r="DS52" i="2"/>
  <c r="DS57" i="2"/>
  <c r="DO86" i="1"/>
  <c r="DS14" i="1"/>
  <c r="EC14" i="1" s="1"/>
  <c r="ED31" i="1"/>
  <c r="DO72" i="1"/>
  <c r="DR18" i="2"/>
  <c r="DR31" i="2"/>
  <c r="DR96" i="2"/>
  <c r="DS97" i="2"/>
  <c r="DP102" i="2"/>
  <c r="DP103" i="2"/>
  <c r="DP107" i="2"/>
  <c r="DR110" i="2"/>
  <c r="DO115" i="2"/>
  <c r="DO117" i="2"/>
  <c r="DP4" i="2"/>
  <c r="DR63" i="2"/>
  <c r="DP91" i="2"/>
  <c r="DR98" i="2"/>
  <c r="DO102" i="2"/>
  <c r="DO104" i="2"/>
  <c r="DO23" i="1"/>
  <c r="DS46" i="1"/>
  <c r="EC46" i="1" s="1"/>
  <c r="DS36" i="2"/>
  <c r="DO37" i="2"/>
  <c r="DO38" i="2"/>
  <c r="DS38" i="2"/>
  <c r="DO40" i="2"/>
  <c r="DP46" i="2"/>
  <c r="DO50" i="2"/>
  <c r="DS50" i="2"/>
  <c r="DS55" i="2"/>
  <c r="DO57" i="2"/>
  <c r="DS82" i="2"/>
  <c r="DO93" i="2"/>
  <c r="DS99" i="2"/>
  <c r="DP101" i="2"/>
  <c r="DP106" i="2"/>
  <c r="DP108" i="2"/>
  <c r="DS27" i="1"/>
  <c r="EC27" i="1" s="1"/>
  <c r="DU27" i="1" s="1"/>
  <c r="EH27" i="1" s="1"/>
  <c r="DO114" i="1"/>
  <c r="DS18" i="2"/>
  <c r="DO23" i="2"/>
  <c r="DS26" i="2"/>
  <c r="DS31" i="2"/>
  <c r="DO49" i="2"/>
  <c r="DP52" i="2"/>
  <c r="DS69" i="2"/>
  <c r="DS77" i="2"/>
  <c r="DO87" i="2"/>
  <c r="DP90" i="2"/>
  <c r="DS101" i="2"/>
  <c r="DS104" i="2"/>
  <c r="DS106" i="2"/>
  <c r="DS108" i="2"/>
  <c r="DS16" i="1"/>
  <c r="DS80" i="1"/>
  <c r="EC80" i="1" s="1"/>
  <c r="DR3" i="2"/>
  <c r="DR7" i="2"/>
  <c r="DP31" i="2"/>
  <c r="DO33" i="2"/>
  <c r="DR78" i="2"/>
  <c r="DO81" i="2"/>
  <c r="DR86" i="2"/>
  <c r="DO89" i="2"/>
  <c r="DO98" i="2"/>
  <c r="DO73" i="2"/>
  <c r="DQ73" i="2"/>
  <c r="DR73" i="2"/>
  <c r="DP81" i="2"/>
  <c r="DP95" i="2"/>
  <c r="DR105" i="2"/>
  <c r="DR109" i="2"/>
  <c r="EE80" i="1"/>
  <c r="DS43" i="1"/>
  <c r="DS67" i="1"/>
  <c r="EC67" i="1" s="1"/>
  <c r="DS76" i="1"/>
  <c r="EC76" i="1" s="1"/>
  <c r="DO10" i="2"/>
  <c r="DQ10" i="2"/>
  <c r="DR35" i="2"/>
  <c r="DQ37" i="2"/>
  <c r="DR37" i="2"/>
  <c r="DQ40" i="2"/>
  <c r="DR52" i="2"/>
  <c r="DP58" i="2"/>
  <c r="DP60" i="2"/>
  <c r="DP74" i="2"/>
  <c r="DR83" i="2"/>
  <c r="DR95" i="2"/>
  <c r="DP96" i="2"/>
  <c r="DQ103" i="2"/>
  <c r="DR115" i="2"/>
  <c r="DS102" i="1"/>
  <c r="EC102" i="1" s="1"/>
  <c r="EF102" i="1" s="1"/>
  <c r="EG102" i="1" s="1"/>
  <c r="DR4" i="2"/>
  <c r="DO19" i="2"/>
  <c r="DO28" i="2"/>
  <c r="DS30" i="2"/>
  <c r="DQ57" i="2"/>
  <c r="DQ70" i="2"/>
  <c r="DQ90" i="2"/>
  <c r="DO113" i="2"/>
  <c r="DQ9" i="1"/>
  <c r="ED9" i="1" s="1"/>
  <c r="DO29" i="1"/>
  <c r="DQ85" i="1"/>
  <c r="DP3" i="2"/>
  <c r="DP12" i="2"/>
  <c r="DR14" i="2"/>
  <c r="DR27" i="2"/>
  <c r="DP28" i="2"/>
  <c r="DR44" i="2"/>
  <c r="DR45" i="2"/>
  <c r="DP54" i="2"/>
  <c r="DP66" i="2"/>
  <c r="DP67" i="2"/>
  <c r="DQ67" i="2"/>
  <c r="DO70" i="2"/>
  <c r="DP78" i="2"/>
  <c r="DS81" i="2"/>
  <c r="DP89" i="2"/>
  <c r="DP98" i="2"/>
  <c r="DP99" i="2"/>
  <c r="DQ99" i="2"/>
  <c r="DO106" i="2"/>
  <c r="DP110" i="2"/>
  <c r="DP111" i="2"/>
  <c r="DQ111" i="2"/>
  <c r="DP113" i="2"/>
  <c r="DQ18" i="1"/>
  <c r="ED18" i="1" s="1"/>
  <c r="DQ56" i="1"/>
  <c r="ED56" i="1" s="1"/>
  <c r="DS61" i="1"/>
  <c r="EC61" i="1" s="1"/>
  <c r="DU61" i="1" s="1"/>
  <c r="EH61" i="1" s="1"/>
  <c r="DS112" i="1"/>
  <c r="EC112" i="1" s="1"/>
  <c r="DS118" i="1"/>
  <c r="EC118" i="1" s="1"/>
  <c r="DU118" i="1" s="1"/>
  <c r="EH118" i="1" s="1"/>
  <c r="DS12" i="2"/>
  <c r="DS28" i="2"/>
  <c r="DR34" i="2"/>
  <c r="DR36" i="2"/>
  <c r="DS41" i="2"/>
  <c r="DO42" i="2"/>
  <c r="DS42" i="2"/>
  <c r="DO44" i="2"/>
  <c r="DP45" i="2"/>
  <c r="DS51" i="2"/>
  <c r="DS54" i="2"/>
  <c r="DO66" i="2"/>
  <c r="DS66" i="2"/>
  <c r="DO80" i="2"/>
  <c r="DR82" i="2"/>
  <c r="DP87" i="2"/>
  <c r="DS89" i="2"/>
  <c r="DR91" i="2"/>
  <c r="DP92" i="2"/>
  <c r="DO100" i="2"/>
  <c r="DR103" i="2"/>
  <c r="DO110" i="2"/>
  <c r="DS110" i="2"/>
  <c r="DO112" i="2"/>
  <c r="DS113" i="2"/>
  <c r="DQ70" i="1"/>
  <c r="ED70" i="1" s="1"/>
  <c r="DP9" i="2"/>
  <c r="DP11" i="2"/>
  <c r="DR11" i="2"/>
  <c r="DO21" i="2"/>
  <c r="DQ21" i="2"/>
  <c r="DS22" i="2"/>
  <c r="DP24" i="2"/>
  <c r="DQ24" i="2"/>
  <c r="DO36" i="2"/>
  <c r="DS45" i="2"/>
  <c r="DS48" i="2"/>
  <c r="DP50" i="2"/>
  <c r="DR50" i="2"/>
  <c r="DP51" i="2"/>
  <c r="DO65" i="2"/>
  <c r="DQ65" i="2"/>
  <c r="DR65" i="2"/>
  <c r="DS75" i="2"/>
  <c r="DS76" i="2"/>
  <c r="DO77" i="2"/>
  <c r="DQ77" i="2"/>
  <c r="DR77" i="2"/>
  <c r="DS84" i="2"/>
  <c r="DS86" i="2"/>
  <c r="DO88" i="2"/>
  <c r="DS92" i="2"/>
  <c r="DO97" i="2"/>
  <c r="DQ97" i="2"/>
  <c r="DO103" i="2"/>
  <c r="DO105" i="2"/>
  <c r="DO107" i="2"/>
  <c r="DO109" i="2"/>
  <c r="DQ109" i="2"/>
  <c r="DQ14" i="2"/>
  <c r="DS14" i="2"/>
  <c r="DR20" i="2"/>
  <c r="DP22" i="2"/>
  <c r="DO31" i="2"/>
  <c r="DS39" i="2"/>
  <c r="DS40" i="2"/>
  <c r="DR58" i="2"/>
  <c r="DO61" i="2"/>
  <c r="DP62" i="2"/>
  <c r="DP63" i="2"/>
  <c r="DQ63" i="2"/>
  <c r="DP65" i="2"/>
  <c r="DP75" i="2"/>
  <c r="DQ75" i="2"/>
  <c r="DP77" i="2"/>
  <c r="DS80" i="2"/>
  <c r="DP82" i="2"/>
  <c r="DP86" i="2"/>
  <c r="DQ94" i="2"/>
  <c r="DR102" i="2"/>
  <c r="DS112" i="2"/>
  <c r="DP114" i="2"/>
  <c r="DS44" i="1"/>
  <c r="EC44" i="1" s="1"/>
  <c r="DU44" i="1" s="1"/>
  <c r="DS110" i="1"/>
  <c r="DT110" i="1" s="1"/>
  <c r="DR13" i="2"/>
  <c r="DR15" i="2"/>
  <c r="DS34" i="2"/>
  <c r="DP38" i="2"/>
  <c r="DP39" i="2"/>
  <c r="DP41" i="2"/>
  <c r="DQ47" i="2"/>
  <c r="DR55" i="2"/>
  <c r="DP56" i="2"/>
  <c r="DO62" i="2"/>
  <c r="DO64" i="2"/>
  <c r="DR67" i="2"/>
  <c r="DO76" i="2"/>
  <c r="DO85" i="2"/>
  <c r="DS88" i="2"/>
  <c r="DP94" i="2"/>
  <c r="DR111" i="2"/>
  <c r="DP118" i="2"/>
  <c r="DS11" i="1"/>
  <c r="Z50" i="2"/>
  <c r="DO50" i="1"/>
  <c r="DS79" i="1"/>
  <c r="EE79" i="1"/>
  <c r="DS9" i="1"/>
  <c r="DT9" i="1" s="1"/>
  <c r="ED48" i="1"/>
  <c r="DS48" i="1"/>
  <c r="EC48" i="1" s="1"/>
  <c r="DU48" i="1" s="1"/>
  <c r="DS4" i="1"/>
  <c r="EC4" i="1" s="1"/>
  <c r="BH15" i="2"/>
  <c r="DQ15" i="1"/>
  <c r="ED15" i="1" s="1"/>
  <c r="DR25" i="2"/>
  <c r="ED96" i="1"/>
  <c r="DS96" i="1"/>
  <c r="EC96" i="1" s="1"/>
  <c r="DU96" i="1" s="1"/>
  <c r="ED101" i="1"/>
  <c r="DS101" i="1"/>
  <c r="DO101" i="2"/>
  <c r="K119" i="2"/>
  <c r="S119" i="2"/>
  <c r="AI119" i="2"/>
  <c r="AQ119" i="2"/>
  <c r="AY119" i="2"/>
  <c r="BG119" i="2"/>
  <c r="DQ3" i="2"/>
  <c r="DR6" i="2"/>
  <c r="DP7" i="2"/>
  <c r="DR8" i="2"/>
  <c r="DS10" i="2"/>
  <c r="DO13" i="2"/>
  <c r="DQ13" i="2"/>
  <c r="DO15" i="2"/>
  <c r="DQ15" i="2"/>
  <c r="DO16" i="2"/>
  <c r="DP18" i="2"/>
  <c r="DO20" i="2"/>
  <c r="DQ20" i="2"/>
  <c r="DS21" i="2"/>
  <c r="DP30" i="2"/>
  <c r="DR32" i="2"/>
  <c r="DP33" i="2"/>
  <c r="DS37" i="2"/>
  <c r="DR42" i="2"/>
  <c r="DP43" i="2"/>
  <c r="DO46" i="2"/>
  <c r="DS46" i="2"/>
  <c r="DQ50" i="2"/>
  <c r="DP53" i="2"/>
  <c r="DR59" i="2"/>
  <c r="DP64" i="2"/>
  <c r="DP69" i="2"/>
  <c r="DP72" i="2"/>
  <c r="DO74" i="2"/>
  <c r="DP76" i="2"/>
  <c r="DR79" i="2"/>
  <c r="DP80" i="2"/>
  <c r="DO83" i="2"/>
  <c r="DP85" i="2"/>
  <c r="DO86" i="2"/>
  <c r="DR87" i="2"/>
  <c r="DP88" i="2"/>
  <c r="DO92" i="2"/>
  <c r="DQ92" i="2"/>
  <c r="DP93" i="2"/>
  <c r="DO94" i="2"/>
  <c r="DO96" i="2"/>
  <c r="DQ96" i="2"/>
  <c r="DP100" i="2"/>
  <c r="DP104" i="2"/>
  <c r="DR106" i="2"/>
  <c r="DP112" i="2"/>
  <c r="DP117" i="2"/>
  <c r="DQ10" i="1"/>
  <c r="ED10" i="1" s="1"/>
  <c r="DQ19" i="1"/>
  <c r="ED19" i="1" s="1"/>
  <c r="DO32" i="1"/>
  <c r="DS38" i="1"/>
  <c r="DT38" i="1" s="1"/>
  <c r="DQ53" i="1"/>
  <c r="ED53" i="1" s="1"/>
  <c r="Z84" i="1"/>
  <c r="Z84" i="2" s="1"/>
  <c r="DS89" i="1"/>
  <c r="EC89" i="1" s="1"/>
  <c r="DR108" i="1"/>
  <c r="EE108" i="1" s="1"/>
  <c r="DQ109" i="1"/>
  <c r="DQ2" i="2"/>
  <c r="DO6" i="2"/>
  <c r="DR9" i="2"/>
  <c r="DR12" i="2"/>
  <c r="DP15" i="2"/>
  <c r="DR16" i="2"/>
  <c r="DP20" i="2"/>
  <c r="DQ23" i="2"/>
  <c r="DP26" i="2"/>
  <c r="DQ26" i="2"/>
  <c r="DQ27" i="2"/>
  <c r="DS27" i="2"/>
  <c r="DR29" i="2"/>
  <c r="DO30" i="2"/>
  <c r="DO32" i="2"/>
  <c r="DQ32" i="2"/>
  <c r="DS35" i="2"/>
  <c r="DR39" i="2"/>
  <c r="DQ49" i="2"/>
  <c r="DR49" i="2"/>
  <c r="DO59" i="2"/>
  <c r="DO68" i="2"/>
  <c r="DQ68" i="2"/>
  <c r="DR68" i="2"/>
  <c r="DR71" i="2"/>
  <c r="DO79" i="2"/>
  <c r="DS100" i="2"/>
  <c r="DQ106" i="2"/>
  <c r="DQ107" i="2"/>
  <c r="DS115" i="2"/>
  <c r="DR116" i="2"/>
  <c r="DS6" i="1"/>
  <c r="EC6" i="1" s="1"/>
  <c r="EF6" i="1" s="1"/>
  <c r="DS26" i="1"/>
  <c r="EC26" i="1" s="1"/>
  <c r="DS32" i="1"/>
  <c r="DT32" i="1" s="1"/>
  <c r="DR37" i="1"/>
  <c r="EE37" i="1" s="1"/>
  <c r="DS64" i="1"/>
  <c r="DT64" i="1" s="1"/>
  <c r="DS92" i="1"/>
  <c r="EC92" i="1" s="1"/>
  <c r="DU92" i="1" s="1"/>
  <c r="EH92" i="1" s="1"/>
  <c r="DP2" i="2"/>
  <c r="DO4" i="2"/>
  <c r="DS4" i="2"/>
  <c r="DP5" i="2"/>
  <c r="DR5" i="2"/>
  <c r="DO11" i="2"/>
  <c r="DO12" i="2"/>
  <c r="DQ12" i="2"/>
  <c r="DS15" i="2"/>
  <c r="DR17" i="2"/>
  <c r="DS20" i="2"/>
  <c r="DP23" i="2"/>
  <c r="DR23" i="2"/>
  <c r="DO26" i="2"/>
  <c r="DP27" i="2"/>
  <c r="DP32" i="2"/>
  <c r="DP35" i="2"/>
  <c r="DO39" i="2"/>
  <c r="DP42" i="2"/>
  <c r="DQ42" i="2"/>
  <c r="DO45" i="2"/>
  <c r="DQ45" i="2"/>
  <c r="DO48" i="2"/>
  <c r="DQ48" i="2"/>
  <c r="DR48" i="2"/>
  <c r="DP49" i="2"/>
  <c r="DO52" i="2"/>
  <c r="DQ52" i="2"/>
  <c r="DO56" i="2"/>
  <c r="DQ56" i="2"/>
  <c r="DR56" i="2"/>
  <c r="DP68" i="2"/>
  <c r="DO71" i="2"/>
  <c r="DR75" i="2"/>
  <c r="DS83" i="2"/>
  <c r="DO84" i="2"/>
  <c r="DQ84" i="2"/>
  <c r="DR84" i="2"/>
  <c r="DO91" i="2"/>
  <c r="DO95" i="2"/>
  <c r="DS96" i="2"/>
  <c r="DR99" i="2"/>
  <c r="DO108" i="2"/>
  <c r="DQ108" i="2"/>
  <c r="DR108" i="2"/>
  <c r="DQ114" i="2"/>
  <c r="DP115" i="2"/>
  <c r="DQ115" i="2"/>
  <c r="DS12" i="1"/>
  <c r="EC12" i="1" s="1"/>
  <c r="DQ34" i="1"/>
  <c r="DS34" i="1" s="1"/>
  <c r="EC34" i="1" s="1"/>
  <c r="DS66" i="1"/>
  <c r="DT66" i="1" s="1"/>
  <c r="DT80" i="1"/>
  <c r="DQ6" i="2"/>
  <c r="DQ8" i="2"/>
  <c r="DQ9" i="2"/>
  <c r="DQ19" i="2"/>
  <c r="DR19" i="2"/>
  <c r="DP21" i="2"/>
  <c r="DR22" i="2"/>
  <c r="DS23" i="2"/>
  <c r="DO24" i="2"/>
  <c r="DO29" i="2"/>
  <c r="DS29" i="2"/>
  <c r="DQ31" i="2"/>
  <c r="DS33" i="2"/>
  <c r="DQ36" i="2"/>
  <c r="DQ44" i="2"/>
  <c r="DR47" i="2"/>
  <c r="DP48" i="2"/>
  <c r="DS59" i="2"/>
  <c r="DR62" i="2"/>
  <c r="DO63" i="2"/>
  <c r="DR66" i="2"/>
  <c r="DO67" i="2"/>
  <c r="DO75" i="2"/>
  <c r="DS79" i="2"/>
  <c r="DP83" i="2"/>
  <c r="DQ83" i="2"/>
  <c r="DP84" i="2"/>
  <c r="DS87" i="2"/>
  <c r="DO99" i="2"/>
  <c r="DQ105" i="2"/>
  <c r="DO116" i="2"/>
  <c r="DS116" i="2"/>
  <c r="DQ59" i="1"/>
  <c r="ED59" i="1" s="1"/>
  <c r="DS68" i="1"/>
  <c r="DS72" i="1"/>
  <c r="DT72" i="1" s="1"/>
  <c r="DO95" i="1"/>
  <c r="DQ103" i="1"/>
  <c r="ED103" i="1" s="1"/>
  <c r="Z108" i="1"/>
  <c r="Z108" i="2" s="1"/>
  <c r="DP6" i="2"/>
  <c r="DP8" i="2"/>
  <c r="DO9" i="2"/>
  <c r="DO14" i="2"/>
  <c r="DQ16" i="2"/>
  <c r="DP17" i="2"/>
  <c r="DQ17" i="2"/>
  <c r="DP19" i="2"/>
  <c r="DO22" i="2"/>
  <c r="DQ22" i="2"/>
  <c r="DR24" i="2"/>
  <c r="DP25" i="2"/>
  <c r="DR28" i="2"/>
  <c r="DP29" i="2"/>
  <c r="DR30" i="2"/>
  <c r="DP34" i="2"/>
  <c r="DQ34" i="2"/>
  <c r="DP36" i="2"/>
  <c r="DQ39" i="2"/>
  <c r="DR43" i="2"/>
  <c r="DP44" i="2"/>
  <c r="DO47" i="2"/>
  <c r="DO51" i="2"/>
  <c r="DR54" i="2"/>
  <c r="DO55" i="2"/>
  <c r="DO58" i="2"/>
  <c r="DQ58" i="2"/>
  <c r="DP59" i="2"/>
  <c r="DQ59" i="2"/>
  <c r="DQ61" i="2"/>
  <c r="DR61" i="2"/>
  <c r="DR70" i="2"/>
  <c r="DS71" i="2"/>
  <c r="DP79" i="2"/>
  <c r="DQ79" i="2"/>
  <c r="DQ82" i="2"/>
  <c r="DR90" i="2"/>
  <c r="DS91" i="2"/>
  <c r="DS95" i="2"/>
  <c r="DQ98" i="2"/>
  <c r="DQ101" i="2"/>
  <c r="DR101" i="2"/>
  <c r="DQ102" i="2"/>
  <c r="DP105" i="2"/>
  <c r="DQ110" i="2"/>
  <c r="DO114" i="2"/>
  <c r="DP116" i="2"/>
  <c r="DR118" i="2"/>
  <c r="DS24" i="1"/>
  <c r="EC24" i="1" s="1"/>
  <c r="DS60" i="1"/>
  <c r="DT60" i="1" s="1"/>
  <c r="DS95" i="1"/>
  <c r="DO3" i="2"/>
  <c r="DO5" i="2"/>
  <c r="DR10" i="2"/>
  <c r="DQ11" i="2"/>
  <c r="DP13" i="2"/>
  <c r="DP16" i="2"/>
  <c r="DO17" i="2"/>
  <c r="DS17" i="2"/>
  <c r="DR21" i="2"/>
  <c r="DO25" i="2"/>
  <c r="DR33" i="2"/>
  <c r="DO34" i="2"/>
  <c r="DQ38" i="2"/>
  <c r="DR40" i="2"/>
  <c r="DO41" i="2"/>
  <c r="DQ41" i="2"/>
  <c r="DR41" i="2"/>
  <c r="DO43" i="2"/>
  <c r="DQ43" i="2"/>
  <c r="DR46" i="2"/>
  <c r="DO54" i="2"/>
  <c r="DQ54" i="2"/>
  <c r="DP55" i="2"/>
  <c r="DR57" i="2"/>
  <c r="DO60" i="2"/>
  <c r="DQ60" i="2"/>
  <c r="DR60" i="2"/>
  <c r="DP61" i="2"/>
  <c r="DQ62" i="2"/>
  <c r="DS63" i="2"/>
  <c r="DQ66" i="2"/>
  <c r="DS67" i="2"/>
  <c r="DP71" i="2"/>
  <c r="DQ71" i="2"/>
  <c r="DR74" i="2"/>
  <c r="DQ78" i="2"/>
  <c r="DQ81" i="2"/>
  <c r="DR81" i="2"/>
  <c r="DO82" i="2"/>
  <c r="DQ89" i="2"/>
  <c r="DR89" i="2"/>
  <c r="DQ91" i="2"/>
  <c r="DR94" i="2"/>
  <c r="DQ95" i="2"/>
  <c r="DR107" i="2"/>
  <c r="DQ113" i="2"/>
  <c r="DR113" i="2"/>
  <c r="DR117" i="2"/>
  <c r="DQ118" i="2"/>
  <c r="DS40" i="1"/>
  <c r="EC40" i="1" s="1"/>
  <c r="DS51" i="1"/>
  <c r="EC51" i="1" s="1"/>
  <c r="DS73" i="1"/>
  <c r="DT73" i="1" s="1"/>
  <c r="DS91" i="1"/>
  <c r="DT91" i="1" s="1"/>
  <c r="DS98" i="1"/>
  <c r="J119" i="2"/>
  <c r="R119" i="2"/>
  <c r="AH119" i="2"/>
  <c r="AP119" i="2"/>
  <c r="BF119" i="2"/>
  <c r="DO7" i="2"/>
  <c r="DQ7" i="2"/>
  <c r="DO8" i="2"/>
  <c r="DP10" i="2"/>
  <c r="DP14" i="2"/>
  <c r="DO18" i="2"/>
  <c r="DQ18" i="2"/>
  <c r="DO35" i="2"/>
  <c r="DQ35" i="2"/>
  <c r="DP37" i="2"/>
  <c r="DP40" i="2"/>
  <c r="DS43" i="2"/>
  <c r="DQ46" i="2"/>
  <c r="DP47" i="2"/>
  <c r="DQ51" i="2"/>
  <c r="DQ53" i="2"/>
  <c r="DR53" i="2"/>
  <c r="DQ55" i="2"/>
  <c r="DP57" i="2"/>
  <c r="DQ64" i="2"/>
  <c r="DR64" i="2"/>
  <c r="DQ69" i="2"/>
  <c r="DR69" i="2"/>
  <c r="DQ72" i="2"/>
  <c r="DR72" i="2"/>
  <c r="DQ74" i="2"/>
  <c r="DQ76" i="2"/>
  <c r="DR76" i="2"/>
  <c r="DQ80" i="2"/>
  <c r="DR80" i="2"/>
  <c r="DQ85" i="2"/>
  <c r="DR85" i="2"/>
  <c r="DQ88" i="2"/>
  <c r="DR88" i="2"/>
  <c r="DO90" i="2"/>
  <c r="DQ93" i="2"/>
  <c r="DR93" i="2"/>
  <c r="DP97" i="2"/>
  <c r="DQ100" i="2"/>
  <c r="DR100" i="2"/>
  <c r="DQ104" i="2"/>
  <c r="DR104" i="2"/>
  <c r="DQ112" i="2"/>
  <c r="DR112" i="2"/>
  <c r="DQ3" i="4"/>
  <c r="AX120" i="4"/>
  <c r="I120" i="4"/>
  <c r="Q120" i="4"/>
  <c r="Y120" i="4"/>
  <c r="AG120" i="4"/>
  <c r="AO120" i="4"/>
  <c r="AW120" i="4"/>
  <c r="BE120" i="4"/>
  <c r="BS120" i="4"/>
  <c r="CF120" i="4"/>
  <c r="CX120" i="4"/>
  <c r="DN4" i="4"/>
  <c r="DP4" i="4"/>
  <c r="DP9" i="4"/>
  <c r="DP22" i="4"/>
  <c r="DP27" i="4"/>
  <c r="DQ42" i="4"/>
  <c r="DO53" i="4"/>
  <c r="DP55" i="4"/>
  <c r="DP73" i="4"/>
  <c r="DP86" i="4"/>
  <c r="DP91" i="4"/>
  <c r="DQ106" i="4"/>
  <c r="DP119" i="4"/>
  <c r="DN3" i="4"/>
  <c r="BU120" i="4"/>
  <c r="CH120" i="4"/>
  <c r="DP3" i="4"/>
  <c r="DN11" i="4"/>
  <c r="DP11" i="4"/>
  <c r="DN16" i="4"/>
  <c r="DO19" i="4"/>
  <c r="DQ26" i="4"/>
  <c r="DO37" i="4"/>
  <c r="DP39" i="4"/>
  <c r="DP45" i="4"/>
  <c r="DO47" i="4"/>
  <c r="DQ49" i="4"/>
  <c r="DN52" i="4"/>
  <c r="DP52" i="4"/>
  <c r="DP57" i="4"/>
  <c r="DP70" i="4"/>
  <c r="DP75" i="4"/>
  <c r="DN80" i="4"/>
  <c r="DO83" i="4"/>
  <c r="DO101" i="4"/>
  <c r="DP103" i="4"/>
  <c r="DP109" i="4"/>
  <c r="DO111" i="4"/>
  <c r="DN116" i="4"/>
  <c r="DP116" i="4"/>
  <c r="L120" i="4"/>
  <c r="T120" i="4"/>
  <c r="DO3" i="4"/>
  <c r="AB120" i="4"/>
  <c r="AJ120" i="4"/>
  <c r="AR120" i="4"/>
  <c r="AZ120" i="4"/>
  <c r="BH120" i="4"/>
  <c r="BV120" i="4"/>
  <c r="CI120" i="4"/>
  <c r="DQ6" i="4"/>
  <c r="DP7" i="4"/>
  <c r="DO8" i="4"/>
  <c r="DO11" i="4"/>
  <c r="DO29" i="4"/>
  <c r="DO39" i="4"/>
  <c r="DQ41" i="4"/>
  <c r="DN44" i="4"/>
  <c r="DP44" i="4"/>
  <c r="DP49" i="4"/>
  <c r="DN54" i="4"/>
  <c r="DP62" i="4"/>
  <c r="DN72" i="4"/>
  <c r="DO75" i="4"/>
  <c r="DO93" i="4"/>
  <c r="DP95" i="4"/>
  <c r="DP101" i="4"/>
  <c r="DO103" i="4"/>
  <c r="DQ105" i="4"/>
  <c r="DN108" i="4"/>
  <c r="DP108" i="4"/>
  <c r="DP113" i="4"/>
  <c r="DN118" i="4"/>
  <c r="M120" i="4"/>
  <c r="U120" i="4"/>
  <c r="AC120" i="4"/>
  <c r="AK120" i="4"/>
  <c r="AS120" i="4"/>
  <c r="BA120" i="4"/>
  <c r="BI120" i="4"/>
  <c r="CA120" i="4"/>
  <c r="CJ120" i="4"/>
  <c r="DQ10" i="4"/>
  <c r="DO21" i="4"/>
  <c r="DP23" i="4"/>
  <c r="DP29" i="4"/>
  <c r="DP41" i="4"/>
  <c r="DN46" i="4"/>
  <c r="DP54" i="4"/>
  <c r="DP59" i="4"/>
  <c r="DQ74" i="4"/>
  <c r="DO85" i="4"/>
  <c r="DP87" i="4"/>
  <c r="DP93" i="4"/>
  <c r="DO95" i="4"/>
  <c r="DQ97" i="4"/>
  <c r="DP105" i="4"/>
  <c r="DN110" i="4"/>
  <c r="DP118" i="4"/>
  <c r="N120" i="4"/>
  <c r="V120" i="4"/>
  <c r="AD120" i="4"/>
  <c r="AL120" i="4"/>
  <c r="AT120" i="4"/>
  <c r="BB120" i="4"/>
  <c r="CB120" i="4"/>
  <c r="DO13" i="4"/>
  <c r="DN38" i="4"/>
  <c r="DN56" i="4"/>
  <c r="DO77" i="4"/>
  <c r="DO87" i="4"/>
  <c r="DN102" i="4"/>
  <c r="AA120" i="4"/>
  <c r="G120" i="4"/>
  <c r="O120" i="4"/>
  <c r="W120" i="4"/>
  <c r="AE120" i="4"/>
  <c r="AM120" i="4"/>
  <c r="AU120" i="4"/>
  <c r="BC120" i="4"/>
  <c r="BQ120" i="4"/>
  <c r="CD120" i="4"/>
  <c r="CT120" i="4"/>
  <c r="DN5" i="4"/>
  <c r="DO10" i="4"/>
  <c r="DP13" i="4"/>
  <c r="DO15" i="4"/>
  <c r="DQ17" i="4"/>
  <c r="DN20" i="4"/>
  <c r="DP20" i="4"/>
  <c r="DP25" i="4"/>
  <c r="AO129" i="4"/>
  <c r="DP38" i="4"/>
  <c r="DP43" i="4"/>
  <c r="DN48" i="4"/>
  <c r="DO51" i="4"/>
  <c r="DQ58" i="4"/>
  <c r="DO69" i="4"/>
  <c r="DP71" i="4"/>
  <c r="DP77" i="4"/>
  <c r="DO79" i="4"/>
  <c r="DQ81" i="4"/>
  <c r="DP89" i="4"/>
  <c r="DP102" i="4"/>
  <c r="DP107" i="4"/>
  <c r="DN112" i="4"/>
  <c r="H120" i="4"/>
  <c r="P120" i="4"/>
  <c r="X120" i="4"/>
  <c r="AF120" i="4"/>
  <c r="AN120" i="4"/>
  <c r="AV120" i="4"/>
  <c r="BD120" i="4"/>
  <c r="BR120" i="4"/>
  <c r="CE120" i="4"/>
  <c r="CU120" i="4"/>
  <c r="DO5" i="4"/>
  <c r="DQ9" i="4"/>
  <c r="DN12" i="4"/>
  <c r="DP12" i="4"/>
  <c r="DN40" i="4"/>
  <c r="DO43" i="4"/>
  <c r="DO71" i="4"/>
  <c r="DQ73" i="4"/>
  <c r="DN76" i="4"/>
  <c r="DP76" i="4"/>
  <c r="DN104" i="4"/>
  <c r="DO107" i="4"/>
  <c r="EE21" i="3"/>
  <c r="EA29" i="3"/>
  <c r="DR29" i="3"/>
  <c r="EA4" i="3"/>
  <c r="DR4" i="3"/>
  <c r="EA10" i="3"/>
  <c r="DR10" i="3"/>
  <c r="EB3" i="3"/>
  <c r="EF21" i="3"/>
  <c r="EG21" i="3" s="1"/>
  <c r="DR82" i="3"/>
  <c r="EA82" i="3"/>
  <c r="DX120" i="3"/>
  <c r="AW5" i="3"/>
  <c r="EF17" i="3"/>
  <c r="EG17" i="3" s="1"/>
  <c r="DQ26" i="3"/>
  <c r="ED36" i="3"/>
  <c r="DS36" i="3"/>
  <c r="EF36" i="3" s="1"/>
  <c r="EG36" i="3" s="1"/>
  <c r="EA39" i="3"/>
  <c r="DR39" i="3"/>
  <c r="EA42" i="3"/>
  <c r="DR42" i="3"/>
  <c r="EE76" i="3"/>
  <c r="ED76" i="3"/>
  <c r="EE77" i="3"/>
  <c r="ED77" i="3" s="1"/>
  <c r="EX116" i="3"/>
  <c r="DO116" i="3"/>
  <c r="EB116" i="3" s="1"/>
  <c r="DQ3" i="3"/>
  <c r="EK3" i="3"/>
  <c r="DQ9" i="3"/>
  <c r="DQ19" i="3"/>
  <c r="DS20" i="3"/>
  <c r="EF20" i="3" s="1"/>
  <c r="EG20" i="3" s="1"/>
  <c r="EE20" i="3"/>
  <c r="ED20" i="3" s="1"/>
  <c r="EA28" i="3"/>
  <c r="DR28" i="3"/>
  <c r="EX5" i="3"/>
  <c r="DZ120" i="3"/>
  <c r="ED11" i="3"/>
  <c r="EA18" i="3"/>
  <c r="DR20" i="3"/>
  <c r="EA25" i="3"/>
  <c r="EC28" i="3"/>
  <c r="DQ31" i="3"/>
  <c r="DS32" i="3"/>
  <c r="EF32" i="3" s="1"/>
  <c r="EG32" i="3" s="1"/>
  <c r="EE32" i="3"/>
  <c r="ED32" i="3" s="1"/>
  <c r="EE41" i="3"/>
  <c r="ED41" i="3" s="1"/>
  <c r="DS41" i="3"/>
  <c r="EF41" i="3" s="1"/>
  <c r="EG41" i="3" s="1"/>
  <c r="EA74" i="3"/>
  <c r="DR74" i="3"/>
  <c r="AW9" i="3"/>
  <c r="DP9" i="3" s="1"/>
  <c r="EC9" i="3" s="1"/>
  <c r="DQ14" i="3"/>
  <c r="DQ16" i="3"/>
  <c r="DR17" i="3"/>
  <c r="EX19" i="3"/>
  <c r="DS33" i="3"/>
  <c r="EF33" i="3" s="1"/>
  <c r="EG33" i="3" s="1"/>
  <c r="EE33" i="3"/>
  <c r="ED33" i="3" s="1"/>
  <c r="DR36" i="3"/>
  <c r="EA22" i="3"/>
  <c r="DR22" i="3"/>
  <c r="DT120" i="3"/>
  <c r="EE7" i="3"/>
  <c r="DS7" i="3"/>
  <c r="EF7" i="3" s="1"/>
  <c r="EG7" i="3" s="1"/>
  <c r="EA15" i="3"/>
  <c r="DR15" i="3"/>
  <c r="EA24" i="3"/>
  <c r="DR24" i="3"/>
  <c r="DR59" i="3"/>
  <c r="EA59" i="3"/>
  <c r="EA66" i="3"/>
  <c r="DR66" i="3"/>
  <c r="BG120" i="3"/>
  <c r="BG122" i="3" s="1"/>
  <c r="EX3" i="3"/>
  <c r="DU120" i="3"/>
  <c r="EY120" i="3"/>
  <c r="DQ6" i="3"/>
  <c r="EF8" i="3"/>
  <c r="EG8" i="3" s="1"/>
  <c r="EE8" i="3"/>
  <c r="ED8" i="3" s="1"/>
  <c r="EX34" i="3"/>
  <c r="DP34" i="3"/>
  <c r="DQ37" i="3"/>
  <c r="EA40" i="3"/>
  <c r="DR40" i="3"/>
  <c r="EC85" i="3"/>
  <c r="DQ85" i="3"/>
  <c r="ED21" i="3"/>
  <c r="EA61" i="3"/>
  <c r="DR61" i="3"/>
  <c r="DM120" i="3"/>
  <c r="EF11" i="3"/>
  <c r="EG11" i="3" s="1"/>
  <c r="DQ12" i="3"/>
  <c r="ED27" i="3"/>
  <c r="EE50" i="3"/>
  <c r="ED50" i="3" s="1"/>
  <c r="DN120" i="3"/>
  <c r="DV120" i="3"/>
  <c r="DP23" i="3"/>
  <c r="EC23" i="3" s="1"/>
  <c r="DP30" i="3"/>
  <c r="EA38" i="3"/>
  <c r="DS49" i="3"/>
  <c r="EF49" i="3" s="1"/>
  <c r="EG49" i="3" s="1"/>
  <c r="EE49" i="3"/>
  <c r="ED49" i="3" s="1"/>
  <c r="DQ60" i="3"/>
  <c r="EE62" i="3"/>
  <c r="DS62" i="3"/>
  <c r="EF62" i="3" s="1"/>
  <c r="EG62" i="3" s="1"/>
  <c r="EA70" i="3"/>
  <c r="DR70" i="3"/>
  <c r="EA83" i="3"/>
  <c r="DR83" i="3"/>
  <c r="EX58" i="3"/>
  <c r="DO58" i="3"/>
  <c r="EB58" i="3" s="1"/>
  <c r="EE72" i="3"/>
  <c r="ED72" i="3"/>
  <c r="DS72" i="3"/>
  <c r="EF72" i="3" s="1"/>
  <c r="EG72" i="3" s="1"/>
  <c r="EA75" i="3"/>
  <c r="DR75" i="3"/>
  <c r="DY120" i="3"/>
  <c r="Y16" i="3"/>
  <c r="AW31" i="3"/>
  <c r="DP31" i="3" s="1"/>
  <c r="EC31" i="3" s="1"/>
  <c r="DQ45" i="3"/>
  <c r="EA45" i="3" s="1"/>
  <c r="EA48" i="3"/>
  <c r="DR49" i="3"/>
  <c r="EX51" i="3"/>
  <c r="EA84" i="3"/>
  <c r="DR84" i="3"/>
  <c r="DQ43" i="3"/>
  <c r="DQ52" i="3"/>
  <c r="DQ54" i="3"/>
  <c r="DQ58" i="3"/>
  <c r="EA64" i="3"/>
  <c r="DR64" i="3"/>
  <c r="EF65" i="3"/>
  <c r="EG65" i="3" s="1"/>
  <c r="ED65" i="3"/>
  <c r="DQ69" i="3"/>
  <c r="EF79" i="3"/>
  <c r="EG79" i="3" s="1"/>
  <c r="EE79" i="3"/>
  <c r="ED79" i="3" s="1"/>
  <c r="EA68" i="3"/>
  <c r="DR68" i="3"/>
  <c r="EE71" i="3"/>
  <c r="ED71" i="3" s="1"/>
  <c r="DS71" i="3"/>
  <c r="EF71" i="3" s="1"/>
  <c r="EG71" i="3" s="1"/>
  <c r="EE78" i="3"/>
  <c r="ED78" i="3" s="1"/>
  <c r="DS78" i="3"/>
  <c r="EF78" i="3" s="1"/>
  <c r="EG78" i="3" s="1"/>
  <c r="DR91" i="3"/>
  <c r="EA91" i="3"/>
  <c r="DS44" i="3"/>
  <c r="EF44" i="3" s="1"/>
  <c r="EG44" i="3" s="1"/>
  <c r="EE44" i="3"/>
  <c r="ED44" i="3" s="1"/>
  <c r="ED55" i="3"/>
  <c r="EX60" i="3"/>
  <c r="DO60" i="3"/>
  <c r="EB60" i="3" s="1"/>
  <c r="ED63" i="3"/>
  <c r="DS67" i="3"/>
  <c r="EF67" i="3" s="1"/>
  <c r="EG67" i="3" s="1"/>
  <c r="EE67" i="3"/>
  <c r="ED67" i="3" s="1"/>
  <c r="EA97" i="3"/>
  <c r="DR97" i="3"/>
  <c r="EM120" i="3"/>
  <c r="DR44" i="3"/>
  <c r="DQ51" i="3"/>
  <c r="EA53" i="3"/>
  <c r="DR53" i="3"/>
  <c r="EA56" i="3"/>
  <c r="EA57" i="3"/>
  <c r="EX66" i="3"/>
  <c r="DO66" i="3"/>
  <c r="EB66" i="3" s="1"/>
  <c r="DR71" i="3"/>
  <c r="DR78" i="3"/>
  <c r="DR81" i="3"/>
  <c r="DR86" i="3"/>
  <c r="DR93" i="3"/>
  <c r="EF98" i="3"/>
  <c r="EG98" i="3" s="1"/>
  <c r="EE98" i="3"/>
  <c r="ED98" i="3" s="1"/>
  <c r="EC102" i="3"/>
  <c r="DQ102" i="3"/>
  <c r="DR110" i="3"/>
  <c r="DS115" i="3"/>
  <c r="EF115" i="3" s="1"/>
  <c r="EG115" i="3" s="1"/>
  <c r="EE115" i="3"/>
  <c r="ED115" i="3" s="1"/>
  <c r="DQ80" i="3"/>
  <c r="EX106" i="3"/>
  <c r="DO106" i="3"/>
  <c r="EB106" i="3" s="1"/>
  <c r="EC109" i="3"/>
  <c r="DQ109" i="3"/>
  <c r="DS111" i="3"/>
  <c r="EF111" i="3" s="1"/>
  <c r="EG111" i="3" s="1"/>
  <c r="EA114" i="3"/>
  <c r="AW88" i="3"/>
  <c r="DP88" i="3" s="1"/>
  <c r="EC88" i="3" s="1"/>
  <c r="Y90" i="3"/>
  <c r="EX90" i="3" s="1"/>
  <c r="DP90" i="3"/>
  <c r="DQ99" i="3"/>
  <c r="EA101" i="3"/>
  <c r="DR101" i="3"/>
  <c r="EE104" i="3"/>
  <c r="ED104" i="3" s="1"/>
  <c r="DS104" i="3"/>
  <c r="EF104" i="3" s="1"/>
  <c r="EG104" i="3" s="1"/>
  <c r="EE113" i="3"/>
  <c r="ED113" i="3" s="1"/>
  <c r="DS113" i="3"/>
  <c r="EF113" i="3" s="1"/>
  <c r="EG113" i="3" s="1"/>
  <c r="EC95" i="3"/>
  <c r="DQ95" i="3"/>
  <c r="EC96" i="3"/>
  <c r="DQ96" i="3"/>
  <c r="DQ116" i="3"/>
  <c r="EX87" i="3"/>
  <c r="DP87" i="3"/>
  <c r="DQ88" i="3"/>
  <c r="DQ89" i="3"/>
  <c r="EA89" i="3" s="1"/>
  <c r="DS93" i="3"/>
  <c r="EF93" i="3" s="1"/>
  <c r="EG93" i="3" s="1"/>
  <c r="ED93" i="3"/>
  <c r="EA94" i="3"/>
  <c r="DR94" i="3"/>
  <c r="DQ100" i="3"/>
  <c r="DR106" i="3"/>
  <c r="EA106" i="3"/>
  <c r="EE110" i="3"/>
  <c r="ED110" i="3"/>
  <c r="DS110" i="3"/>
  <c r="EF110" i="3" s="1"/>
  <c r="EG110" i="3" s="1"/>
  <c r="DS112" i="3"/>
  <c r="EF112" i="3" s="1"/>
  <c r="EG112" i="3" s="1"/>
  <c r="EE112" i="3"/>
  <c r="EC119" i="3"/>
  <c r="DQ119" i="3"/>
  <c r="EA119" i="3" s="1"/>
  <c r="DR104" i="3"/>
  <c r="DR113" i="3"/>
  <c r="EX117" i="3"/>
  <c r="DP117" i="3"/>
  <c r="BH120" i="3"/>
  <c r="BH122" i="3" s="1"/>
  <c r="ED81" i="3"/>
  <c r="DS81" i="3"/>
  <c r="EF81" i="3" s="1"/>
  <c r="EG81" i="3" s="1"/>
  <c r="ED86" i="3"/>
  <c r="DS86" i="3"/>
  <c r="EF86" i="3" s="1"/>
  <c r="EG86" i="3" s="1"/>
  <c r="EX91" i="3"/>
  <c r="DO91" i="3"/>
  <c r="EB91" i="3" s="1"/>
  <c r="DQ92" i="3"/>
  <c r="EX100" i="3"/>
  <c r="EA103" i="3"/>
  <c r="DR103" i="3"/>
  <c r="EA107" i="3"/>
  <c r="DR107" i="3"/>
  <c r="AW118" i="3"/>
  <c r="DP118" i="3" s="1"/>
  <c r="EC118" i="3" s="1"/>
  <c r="I122" i="3"/>
  <c r="DQ108" i="3"/>
  <c r="DO98" i="3"/>
  <c r="EB98" i="3" s="1"/>
  <c r="DO105" i="3"/>
  <c r="EB105" i="3" s="1"/>
  <c r="EE105" i="3" s="1"/>
  <c r="ED105" i="3" s="1"/>
  <c r="DO111" i="3"/>
  <c r="EB111" i="3" s="1"/>
  <c r="EE111" i="3" s="1"/>
  <c r="ED111" i="3" s="1"/>
  <c r="DO114" i="3"/>
  <c r="EB114" i="3" s="1"/>
  <c r="BI17" i="2"/>
  <c r="DQ17" i="1"/>
  <c r="BI2" i="2"/>
  <c r="BI119" i="1"/>
  <c r="DX119" i="1"/>
  <c r="EE4" i="1"/>
  <c r="ED8" i="1"/>
  <c r="DS8" i="1"/>
  <c r="EC68" i="1"/>
  <c r="DT68" i="1"/>
  <c r="EC43" i="1"/>
  <c r="DT43" i="1"/>
  <c r="DY119" i="1"/>
  <c r="Q4" i="2"/>
  <c r="DO4" i="1"/>
  <c r="BI10" i="2"/>
  <c r="EC32" i="1"/>
  <c r="EF14" i="1"/>
  <c r="EG14" i="1" s="1"/>
  <c r="DU14" i="1"/>
  <c r="EH14" i="1" s="1"/>
  <c r="AX4" i="2"/>
  <c r="BH7" i="2"/>
  <c r="DQ7" i="1"/>
  <c r="ED7" i="1" s="1"/>
  <c r="DQ2" i="1"/>
  <c r="DS2" i="1" s="1"/>
  <c r="DU46" i="1"/>
  <c r="EH46" i="1" s="1"/>
  <c r="EF46" i="1"/>
  <c r="EG46" i="1" s="1"/>
  <c r="EC66" i="1"/>
  <c r="EC16" i="1"/>
  <c r="DT16" i="1"/>
  <c r="Q5" i="2"/>
  <c r="DO5" i="1"/>
  <c r="EC31" i="1"/>
  <c r="DT31" i="1"/>
  <c r="EH44" i="1"/>
  <c r="DT71" i="1"/>
  <c r="EC71" i="1"/>
  <c r="EA119" i="1"/>
  <c r="AX5" i="1"/>
  <c r="DS21" i="1"/>
  <c r="DO25" i="1"/>
  <c r="BH2" i="2"/>
  <c r="BH119" i="1"/>
  <c r="EB119" i="1"/>
  <c r="Z15" i="1"/>
  <c r="DQ23" i="1"/>
  <c r="ED23" i="1" s="1"/>
  <c r="EF44" i="1"/>
  <c r="DS53" i="1"/>
  <c r="DQ57" i="1"/>
  <c r="ED57" i="1" s="1"/>
  <c r="EE67" i="1"/>
  <c r="DU88" i="1"/>
  <c r="EH88" i="1" s="1"/>
  <c r="EF88" i="1"/>
  <c r="DQ28" i="1"/>
  <c r="DS47" i="1"/>
  <c r="DS49" i="1"/>
  <c r="DS56" i="1"/>
  <c r="BI58" i="2"/>
  <c r="DQ58" i="1"/>
  <c r="ED58" i="1" s="1"/>
  <c r="BI77" i="2"/>
  <c r="BH81" i="2"/>
  <c r="DQ81" i="1"/>
  <c r="ED81" i="1" s="1"/>
  <c r="AA119" i="1"/>
  <c r="AA15" i="2"/>
  <c r="AA119" i="2" s="1"/>
  <c r="DT14" i="1"/>
  <c r="AX30" i="1"/>
  <c r="AX33" i="1"/>
  <c r="DQ36" i="1"/>
  <c r="ED36" i="1" s="1"/>
  <c r="DQ39" i="1"/>
  <c r="ED39" i="1" s="1"/>
  <c r="DQ42" i="1"/>
  <c r="ED42" i="1" s="1"/>
  <c r="BI52" i="2"/>
  <c r="DQ52" i="1"/>
  <c r="DQ69" i="1"/>
  <c r="ED69" i="1" s="1"/>
  <c r="DS70" i="1"/>
  <c r="DV119" i="1"/>
  <c r="DW119" i="1"/>
  <c r="EE2" i="1"/>
  <c r="DQ3" i="1"/>
  <c r="DQ13" i="1"/>
  <c r="DS20" i="1"/>
  <c r="DS22" i="1"/>
  <c r="AX29" i="1"/>
  <c r="DO30" i="1"/>
  <c r="DO33" i="1"/>
  <c r="Z37" i="1"/>
  <c r="DS54" i="1"/>
  <c r="DS55" i="1"/>
  <c r="BH59" i="2"/>
  <c r="DQ63" i="1"/>
  <c r="ED63" i="1" s="1"/>
  <c r="EC79" i="1"/>
  <c r="DT79" i="1"/>
  <c r="CK32" i="2"/>
  <c r="CK119" i="1"/>
  <c r="CK119" i="2" s="1"/>
  <c r="DQ35" i="1"/>
  <c r="DQ41" i="1"/>
  <c r="BH53" i="2"/>
  <c r="BI74" i="2"/>
  <c r="BH78" i="2"/>
  <c r="DQ78" i="1"/>
  <c r="ED78" i="1" s="1"/>
  <c r="EC95" i="1"/>
  <c r="DT95" i="1"/>
  <c r="DU62" i="1"/>
  <c r="EH62" i="1" s="1"/>
  <c r="EF62" i="1"/>
  <c r="EG62" i="1" s="1"/>
  <c r="AX25" i="1"/>
  <c r="DT46" i="1"/>
  <c r="DQ50" i="1"/>
  <c r="ED50" i="1" s="1"/>
  <c r="DT62" i="1"/>
  <c r="BH65" i="2"/>
  <c r="DQ65" i="1"/>
  <c r="DZ119" i="1"/>
  <c r="AW119" i="1"/>
  <c r="AW119" i="2" s="1"/>
  <c r="AW4" i="2"/>
  <c r="DQ45" i="1"/>
  <c r="BH75" i="2"/>
  <c r="DQ75" i="1"/>
  <c r="ED75" i="1" s="1"/>
  <c r="EF80" i="1"/>
  <c r="EG80" i="1" s="1"/>
  <c r="DU80" i="1"/>
  <c r="EH80" i="1" s="1"/>
  <c r="DQ74" i="1"/>
  <c r="ED74" i="1" s="1"/>
  <c r="DQ77" i="1"/>
  <c r="ED77" i="1" s="1"/>
  <c r="EC93" i="1"/>
  <c r="BH99" i="2"/>
  <c r="DQ99" i="1"/>
  <c r="ED99" i="1" s="1"/>
  <c r="DQ97" i="1"/>
  <c r="ED97" i="1" s="1"/>
  <c r="BI100" i="2"/>
  <c r="DQ100" i="1"/>
  <c r="AX87" i="1"/>
  <c r="DQ90" i="1"/>
  <c r="ED90" i="1" s="1"/>
  <c r="DQ94" i="1"/>
  <c r="DT102" i="1"/>
  <c r="DO69" i="1"/>
  <c r="DO81" i="1"/>
  <c r="DQ83" i="1"/>
  <c r="DQ84" i="1"/>
  <c r="AX86" i="1"/>
  <c r="DO87" i="1"/>
  <c r="DO89" i="1"/>
  <c r="EF112" i="1"/>
  <c r="EG112" i="1" s="1"/>
  <c r="DU112" i="1"/>
  <c r="EH112" i="1" s="1"/>
  <c r="DQ82" i="1"/>
  <c r="ED82" i="1" s="1"/>
  <c r="DO94" i="1"/>
  <c r="N119" i="2"/>
  <c r="V119" i="2"/>
  <c r="AD119" i="2"/>
  <c r="AL119" i="2"/>
  <c r="AT119" i="2"/>
  <c r="BB119" i="2"/>
  <c r="DS119" i="2" s="1"/>
  <c r="BJ119" i="2"/>
  <c r="CB119" i="2"/>
  <c r="DQ28" i="2"/>
  <c r="DT112" i="1"/>
  <c r="O119" i="2"/>
  <c r="W119" i="2"/>
  <c r="AE119" i="2"/>
  <c r="AM119" i="2"/>
  <c r="AU119" i="2"/>
  <c r="BC119" i="2"/>
  <c r="CC119" i="2"/>
  <c r="DQ116" i="2"/>
  <c r="DQ108" i="1"/>
  <c r="DQ111" i="1"/>
  <c r="DR116" i="1"/>
  <c r="EE116" i="1" s="1"/>
  <c r="H119" i="2"/>
  <c r="P119" i="2"/>
  <c r="X119" i="2"/>
  <c r="AF119" i="2"/>
  <c r="AN119" i="2"/>
  <c r="AV119" i="2"/>
  <c r="BD119" i="2"/>
  <c r="CQ119" i="2"/>
  <c r="DR2" i="2"/>
  <c r="DQ115" i="1"/>
  <c r="AX117" i="1"/>
  <c r="I119" i="2"/>
  <c r="Y119" i="2"/>
  <c r="AG119" i="2"/>
  <c r="AO119" i="2"/>
  <c r="BE119" i="2"/>
  <c r="DS2" i="2"/>
  <c r="DQ106" i="1"/>
  <c r="ED106" i="1" s="1"/>
  <c r="DS107" i="1"/>
  <c r="DQ113" i="1"/>
  <c r="ED113" i="1" s="1"/>
  <c r="DO117" i="1"/>
  <c r="DR26" i="2"/>
  <c r="DQ114" i="1"/>
  <c r="ED114" i="1" s="1"/>
  <c r="DQ104" i="1"/>
  <c r="ED104" i="1" s="1"/>
  <c r="DQ105" i="1"/>
  <c r="ED105" i="1" s="1"/>
  <c r="DO116" i="1"/>
  <c r="L119" i="2"/>
  <c r="T119" i="2"/>
  <c r="AB119" i="2"/>
  <c r="AJ119" i="2"/>
  <c r="AR119" i="2"/>
  <c r="AZ119" i="2"/>
  <c r="DO108" i="1"/>
  <c r="M119" i="2"/>
  <c r="U119" i="2"/>
  <c r="AC119" i="2"/>
  <c r="AK119" i="2"/>
  <c r="AS119" i="2"/>
  <c r="BA119" i="2"/>
  <c r="DO2" i="2"/>
  <c r="DO27" i="2"/>
  <c r="EE13" i="3" l="1"/>
  <c r="ED13" i="3" s="1"/>
  <c r="DS13" i="3"/>
  <c r="EF13" i="3" s="1"/>
  <c r="EG13" i="3" s="1"/>
  <c r="EE73" i="3"/>
  <c r="ED73" i="3" s="1"/>
  <c r="DS46" i="3"/>
  <c r="EF46" i="3" s="1"/>
  <c r="EG46" i="3" s="1"/>
  <c r="EE46" i="3"/>
  <c r="ED46" i="3" s="1"/>
  <c r="DR35" i="3"/>
  <c r="DS103" i="1"/>
  <c r="EC103" i="1" s="1"/>
  <c r="EF103" i="1" s="1"/>
  <c r="EG103" i="1" s="1"/>
  <c r="DS15" i="1"/>
  <c r="DT15" i="1" s="1"/>
  <c r="EF48" i="1"/>
  <c r="EG48" i="1" s="1"/>
  <c r="DU102" i="1"/>
  <c r="EH102" i="1" s="1"/>
  <c r="DT34" i="1"/>
  <c r="EF61" i="1"/>
  <c r="EF27" i="1"/>
  <c r="EG27" i="1" s="1"/>
  <c r="DT27" i="1"/>
  <c r="EC60" i="1"/>
  <c r="EF60" i="1" s="1"/>
  <c r="EG60" i="1" s="1"/>
  <c r="DS59" i="1"/>
  <c r="DT59" i="1" s="1"/>
  <c r="DT76" i="1"/>
  <c r="DT89" i="1"/>
  <c r="DT96" i="1"/>
  <c r="DT12" i="1"/>
  <c r="DT24" i="1"/>
  <c r="EH48" i="1"/>
  <c r="U121" i="2"/>
  <c r="DT92" i="1"/>
  <c r="EH96" i="1"/>
  <c r="EF92" i="1"/>
  <c r="EG92" i="1" s="1"/>
  <c r="DS90" i="1"/>
  <c r="EC90" i="1" s="1"/>
  <c r="EC15" i="1"/>
  <c r="DU15" i="1" s="1"/>
  <c r="EH15" i="1" s="1"/>
  <c r="DT26" i="1"/>
  <c r="ED34" i="1"/>
  <c r="DT40" i="1"/>
  <c r="Q119" i="2"/>
  <c r="DT67" i="1"/>
  <c r="EF118" i="1"/>
  <c r="DO84" i="1"/>
  <c r="DO119" i="2"/>
  <c r="DS18" i="1"/>
  <c r="DS81" i="1"/>
  <c r="EC81" i="1" s="1"/>
  <c r="EC9" i="1"/>
  <c r="DU9" i="1" s="1"/>
  <c r="EH9" i="1" s="1"/>
  <c r="ED85" i="1"/>
  <c r="DS85" i="1"/>
  <c r="DS104" i="1"/>
  <c r="EC104" i="1" s="1"/>
  <c r="EC91" i="1"/>
  <c r="DU91" i="1" s="1"/>
  <c r="EH91" i="1" s="1"/>
  <c r="DS37" i="1"/>
  <c r="EC72" i="1"/>
  <c r="DU72" i="1" s="1"/>
  <c r="EH72" i="1" s="1"/>
  <c r="DS10" i="1"/>
  <c r="DT10" i="1" s="1"/>
  <c r="EC110" i="1"/>
  <c r="DU110" i="1" s="1"/>
  <c r="EH110" i="1" s="1"/>
  <c r="EC64" i="1"/>
  <c r="EF64" i="1" s="1"/>
  <c r="EG64" i="1" s="1"/>
  <c r="DT51" i="1"/>
  <c r="EC98" i="1"/>
  <c r="DT98" i="1"/>
  <c r="EC73" i="1"/>
  <c r="DU73" i="1" s="1"/>
  <c r="EH73" i="1" s="1"/>
  <c r="EC38" i="1"/>
  <c r="EF38" i="1" s="1"/>
  <c r="EG38" i="1" s="1"/>
  <c r="DT4" i="1"/>
  <c r="DS109" i="1"/>
  <c r="ED109" i="1"/>
  <c r="DS19" i="1"/>
  <c r="DQ4" i="2"/>
  <c r="DU6" i="1"/>
  <c r="EH6" i="1" s="1"/>
  <c r="DS114" i="1"/>
  <c r="EC114" i="1" s="1"/>
  <c r="DS97" i="1"/>
  <c r="EC97" i="1" s="1"/>
  <c r="DS82" i="1"/>
  <c r="EC82" i="1" s="1"/>
  <c r="DT48" i="1"/>
  <c r="DS23" i="1"/>
  <c r="EC23" i="1" s="1"/>
  <c r="DS42" i="1"/>
  <c r="EC42" i="1" s="1"/>
  <c r="EC101" i="1"/>
  <c r="EF101" i="1" s="1"/>
  <c r="DT101" i="1"/>
  <c r="DS105" i="1"/>
  <c r="DT105" i="1" s="1"/>
  <c r="DR119" i="2"/>
  <c r="EF96" i="1"/>
  <c r="EG96" i="1" s="1"/>
  <c r="EC11" i="1"/>
  <c r="DT11" i="1"/>
  <c r="DJ131" i="4"/>
  <c r="DJ132" i="4" s="1"/>
  <c r="EA52" i="3"/>
  <c r="DR52" i="3"/>
  <c r="DS40" i="3"/>
  <c r="EF40" i="3" s="1"/>
  <c r="EG40" i="3" s="1"/>
  <c r="EE40" i="3"/>
  <c r="ED40" i="3" s="1"/>
  <c r="EX31" i="3"/>
  <c r="DR100" i="3"/>
  <c r="EA100" i="3"/>
  <c r="EA109" i="3"/>
  <c r="DR109" i="3"/>
  <c r="EE56" i="3"/>
  <c r="DS56" i="3"/>
  <c r="EF56" i="3" s="1"/>
  <c r="EG56" i="3" s="1"/>
  <c r="EE45" i="3"/>
  <c r="DS45" i="3"/>
  <c r="EF45" i="3" s="1"/>
  <c r="EG45" i="3" s="1"/>
  <c r="EC34" i="3"/>
  <c r="DQ34" i="3"/>
  <c r="DR116" i="3"/>
  <c r="EA116" i="3"/>
  <c r="DS89" i="3"/>
  <c r="EF89" i="3" s="1"/>
  <c r="EG89" i="3" s="1"/>
  <c r="EE89" i="3"/>
  <c r="DS101" i="3"/>
  <c r="EF101" i="3" s="1"/>
  <c r="EG101" i="3" s="1"/>
  <c r="EE101" i="3"/>
  <c r="ED101" i="3" s="1"/>
  <c r="EC30" i="3"/>
  <c r="DQ30" i="3"/>
  <c r="EE103" i="3"/>
  <c r="ED103" i="3" s="1"/>
  <c r="DS103" i="3"/>
  <c r="EF103" i="3" s="1"/>
  <c r="EG103" i="3" s="1"/>
  <c r="EE22" i="3"/>
  <c r="ED22" i="3" s="1"/>
  <c r="DS22" i="3"/>
  <c r="EF22" i="3" s="1"/>
  <c r="EG22" i="3" s="1"/>
  <c r="EE18" i="3"/>
  <c r="ED18" i="3" s="1"/>
  <c r="DS18" i="3"/>
  <c r="EF18" i="3" s="1"/>
  <c r="EG18" i="3" s="1"/>
  <c r="DS42" i="3"/>
  <c r="EF42" i="3" s="1"/>
  <c r="EG42" i="3" s="1"/>
  <c r="EE42" i="3"/>
  <c r="ED42" i="3" s="1"/>
  <c r="EE10" i="3"/>
  <c r="ED10" i="3" s="1"/>
  <c r="DS10" i="3"/>
  <c r="EF10" i="3" s="1"/>
  <c r="EG10" i="3" s="1"/>
  <c r="EE94" i="3"/>
  <c r="ED94" i="3" s="1"/>
  <c r="DS94" i="3"/>
  <c r="EF94" i="3" s="1"/>
  <c r="EG94" i="3" s="1"/>
  <c r="DR96" i="3"/>
  <c r="EA96" i="3"/>
  <c r="EX88" i="3"/>
  <c r="EA102" i="3"/>
  <c r="DR102" i="3"/>
  <c r="DS53" i="3"/>
  <c r="EF53" i="3" s="1"/>
  <c r="EG53" i="3" s="1"/>
  <c r="EE53" i="3"/>
  <c r="ED53" i="3" s="1"/>
  <c r="EF105" i="3"/>
  <c r="EG105" i="3" s="1"/>
  <c r="Y120" i="3"/>
  <c r="Y122" i="3" s="1"/>
  <c r="EX16" i="3"/>
  <c r="EE24" i="3"/>
  <c r="DS24" i="3"/>
  <c r="EF24" i="3" s="1"/>
  <c r="EG24" i="3" s="1"/>
  <c r="ED24" i="3"/>
  <c r="DR14" i="3"/>
  <c r="EA14" i="3"/>
  <c r="EA31" i="3"/>
  <c r="DR31" i="3"/>
  <c r="EE29" i="3"/>
  <c r="ED29" i="3" s="1"/>
  <c r="DS29" i="3"/>
  <c r="EF29" i="3" s="1"/>
  <c r="EG29" i="3" s="1"/>
  <c r="EE91" i="3"/>
  <c r="ED91" i="3"/>
  <c r="DS91" i="3"/>
  <c r="EF91" i="3" s="1"/>
  <c r="EG91" i="3" s="1"/>
  <c r="EA60" i="3"/>
  <c r="DR60" i="3"/>
  <c r="DS61" i="3"/>
  <c r="EF61" i="3" s="1"/>
  <c r="EG61" i="3" s="1"/>
  <c r="EE61" i="3"/>
  <c r="ED61" i="3" s="1"/>
  <c r="EA16" i="3"/>
  <c r="DR16" i="3"/>
  <c r="AW120" i="3"/>
  <c r="DP5" i="3"/>
  <c r="EA108" i="3"/>
  <c r="DR108" i="3"/>
  <c r="EA92" i="3"/>
  <c r="DR92" i="3"/>
  <c r="DQ117" i="3"/>
  <c r="EC117" i="3"/>
  <c r="DQ118" i="3"/>
  <c r="EA51" i="3"/>
  <c r="DR51" i="3"/>
  <c r="DS68" i="3"/>
  <c r="EF68" i="3" s="1"/>
  <c r="EG68" i="3" s="1"/>
  <c r="EE68" i="3"/>
  <c r="ED68" i="3" s="1"/>
  <c r="DS64" i="3"/>
  <c r="EF64" i="3" s="1"/>
  <c r="EG64" i="3" s="1"/>
  <c r="EE64" i="3"/>
  <c r="ED64" i="3" s="1"/>
  <c r="EA85" i="3"/>
  <c r="DR85" i="3"/>
  <c r="EE66" i="3"/>
  <c r="ED66" i="3" s="1"/>
  <c r="DS66" i="3"/>
  <c r="EF66" i="3" s="1"/>
  <c r="EG66" i="3" s="1"/>
  <c r="EX9" i="3"/>
  <c r="EX120" i="3" s="1"/>
  <c r="DR19" i="3"/>
  <c r="EA19" i="3"/>
  <c r="DS39" i="3"/>
  <c r="EF39" i="3" s="1"/>
  <c r="EG39" i="3" s="1"/>
  <c r="EE39" i="3"/>
  <c r="ED39" i="3"/>
  <c r="DS82" i="3"/>
  <c r="EF82" i="3" s="1"/>
  <c r="EG82" i="3" s="1"/>
  <c r="EE82" i="3"/>
  <c r="ED82" i="3" s="1"/>
  <c r="EE4" i="3"/>
  <c r="ED4" i="3" s="1"/>
  <c r="DS4" i="3"/>
  <c r="EF4" i="3" s="1"/>
  <c r="EG4" i="3" s="1"/>
  <c r="DR95" i="3"/>
  <c r="EA95" i="3"/>
  <c r="EE114" i="3"/>
  <c r="ED114" i="3" s="1"/>
  <c r="DS114" i="3"/>
  <c r="EF114" i="3" s="1"/>
  <c r="EG114" i="3" s="1"/>
  <c r="EA80" i="3"/>
  <c r="DR80" i="3"/>
  <c r="EA58" i="3"/>
  <c r="DR58" i="3"/>
  <c r="EE84" i="3"/>
  <c r="ED84" i="3" s="1"/>
  <c r="DS84" i="3"/>
  <c r="EF84" i="3" s="1"/>
  <c r="EG84" i="3" s="1"/>
  <c r="DS83" i="3"/>
  <c r="EF83" i="3" s="1"/>
  <c r="EG83" i="3" s="1"/>
  <c r="EE83" i="3"/>
  <c r="ED83" i="3" s="1"/>
  <c r="EE38" i="3"/>
  <c r="ED38" i="3" s="1"/>
  <c r="DS38" i="3"/>
  <c r="EF38" i="3" s="1"/>
  <c r="EG38" i="3" s="1"/>
  <c r="DR12" i="3"/>
  <c r="EA12" i="3"/>
  <c r="EA6" i="3"/>
  <c r="DR6" i="3"/>
  <c r="EE59" i="3"/>
  <c r="ED59" i="3" s="1"/>
  <c r="DS59" i="3"/>
  <c r="EF59" i="3" s="1"/>
  <c r="EG59" i="3" s="1"/>
  <c r="EE15" i="3"/>
  <c r="ED15" i="3" s="1"/>
  <c r="DS15" i="3"/>
  <c r="EF15" i="3" s="1"/>
  <c r="EG15" i="3" s="1"/>
  <c r="EX118" i="3"/>
  <c r="EE75" i="3"/>
  <c r="ED75" i="3"/>
  <c r="DS75" i="3"/>
  <c r="EF75" i="3" s="1"/>
  <c r="EG75" i="3" s="1"/>
  <c r="EA54" i="3"/>
  <c r="DR54" i="3"/>
  <c r="DR88" i="3"/>
  <c r="EA88" i="3"/>
  <c r="EA9" i="3"/>
  <c r="DR9" i="3"/>
  <c r="EE106" i="3"/>
  <c r="ED106" i="3" s="1"/>
  <c r="DS106" i="3"/>
  <c r="EF106" i="3" s="1"/>
  <c r="EG106" i="3" s="1"/>
  <c r="EA99" i="3"/>
  <c r="DR99" i="3"/>
  <c r="DS70" i="3"/>
  <c r="EF70" i="3" s="1"/>
  <c r="EG70" i="3" s="1"/>
  <c r="EE70" i="3"/>
  <c r="ED70" i="3" s="1"/>
  <c r="DS74" i="3"/>
  <c r="EF74" i="3" s="1"/>
  <c r="EG74" i="3" s="1"/>
  <c r="EE74" i="3"/>
  <c r="ED74" i="3" s="1"/>
  <c r="EB120" i="3"/>
  <c r="DQ23" i="3"/>
  <c r="DS107" i="3"/>
  <c r="EF107" i="3" s="1"/>
  <c r="EG107" i="3" s="1"/>
  <c r="EE107" i="3"/>
  <c r="ED107" i="3"/>
  <c r="EE119" i="3"/>
  <c r="DS119" i="3"/>
  <c r="EF119" i="3" s="1"/>
  <c r="EG119" i="3" s="1"/>
  <c r="DQ87" i="3"/>
  <c r="EC87" i="3"/>
  <c r="EC90" i="3"/>
  <c r="DQ90" i="3"/>
  <c r="EE57" i="3"/>
  <c r="ED57" i="3"/>
  <c r="DS57" i="3"/>
  <c r="EF57" i="3" s="1"/>
  <c r="EG57" i="3" s="1"/>
  <c r="EE97" i="3"/>
  <c r="ED97" i="3" s="1"/>
  <c r="DS97" i="3"/>
  <c r="EF97" i="3" s="1"/>
  <c r="EG97" i="3" s="1"/>
  <c r="EA69" i="3"/>
  <c r="DR69" i="3"/>
  <c r="EA43" i="3"/>
  <c r="DR43" i="3"/>
  <c r="EE48" i="3"/>
  <c r="ED48" i="3" s="1"/>
  <c r="DS48" i="3"/>
  <c r="EF48" i="3" s="1"/>
  <c r="EG48" i="3" s="1"/>
  <c r="DR37" i="3"/>
  <c r="EA37" i="3"/>
  <c r="DS35" i="3"/>
  <c r="EF35" i="3" s="1"/>
  <c r="EG35" i="3" s="1"/>
  <c r="EE35" i="3"/>
  <c r="ED35" i="3" s="1"/>
  <c r="EE25" i="3"/>
  <c r="ED25" i="3" s="1"/>
  <c r="DS25" i="3"/>
  <c r="EF25" i="3" s="1"/>
  <c r="EG25" i="3" s="1"/>
  <c r="ED28" i="3"/>
  <c r="DS28" i="3"/>
  <c r="EF28" i="3" s="1"/>
  <c r="EG28" i="3" s="1"/>
  <c r="EE28" i="3"/>
  <c r="EA3" i="3"/>
  <c r="DR3" i="3"/>
  <c r="DR26" i="3"/>
  <c r="EA26" i="3"/>
  <c r="DO120" i="3"/>
  <c r="ED65" i="1"/>
  <c r="DS65" i="1"/>
  <c r="ED111" i="1"/>
  <c r="DS111" i="1"/>
  <c r="DS115" i="1"/>
  <c r="ED115" i="1"/>
  <c r="DT20" i="1"/>
  <c r="EC20" i="1"/>
  <c r="DS52" i="1"/>
  <c r="ED52" i="1"/>
  <c r="AX30" i="2"/>
  <c r="DQ30" i="2" s="1"/>
  <c r="DR30" i="1"/>
  <c r="EC47" i="1"/>
  <c r="DT47" i="1"/>
  <c r="DS78" i="1"/>
  <c r="Z119" i="1"/>
  <c r="Z15" i="2"/>
  <c r="DO15" i="1"/>
  <c r="DS57" i="1"/>
  <c r="DS50" i="1"/>
  <c r="DQ119" i="1"/>
  <c r="ED2" i="1"/>
  <c r="ED17" i="1"/>
  <c r="DS17" i="1"/>
  <c r="ED100" i="1"/>
  <c r="DS100" i="1"/>
  <c r="DU79" i="1"/>
  <c r="EH79" i="1" s="1"/>
  <c r="EF79" i="1"/>
  <c r="EG79" i="1" s="1"/>
  <c r="Z37" i="2"/>
  <c r="DO37" i="1"/>
  <c r="ED13" i="1"/>
  <c r="DS13" i="1"/>
  <c r="EC21" i="1"/>
  <c r="DT21" i="1"/>
  <c r="DU31" i="1"/>
  <c r="EH31" i="1" s="1"/>
  <c r="EF31" i="1"/>
  <c r="EG31" i="1" s="1"/>
  <c r="EF26" i="1"/>
  <c r="EG26" i="1" s="1"/>
  <c r="DU26" i="1"/>
  <c r="EH26" i="1" s="1"/>
  <c r="EC8" i="1"/>
  <c r="DT8" i="1"/>
  <c r="DS84" i="1"/>
  <c r="ED84" i="1"/>
  <c r="DS83" i="1"/>
  <c r="ED83" i="1"/>
  <c r="DS113" i="1"/>
  <c r="AX87" i="2"/>
  <c r="DQ87" i="2" s="1"/>
  <c r="DR87" i="1"/>
  <c r="DS77" i="1"/>
  <c r="DS75" i="1"/>
  <c r="ED3" i="1"/>
  <c r="DS3" i="1"/>
  <c r="ED28" i="1"/>
  <c r="DS28" i="1"/>
  <c r="AX5" i="2"/>
  <c r="DQ5" i="2" s="1"/>
  <c r="DR5" i="1"/>
  <c r="DU67" i="1"/>
  <c r="EH67" i="1" s="1"/>
  <c r="EF67" i="1"/>
  <c r="EG67" i="1" s="1"/>
  <c r="DS7" i="1"/>
  <c r="AX86" i="2"/>
  <c r="DQ86" i="2" s="1"/>
  <c r="DR86" i="1"/>
  <c r="DS116" i="1"/>
  <c r="DS74" i="1"/>
  <c r="DU76" i="1"/>
  <c r="EH76" i="1" s="1"/>
  <c r="EF76" i="1"/>
  <c r="EG76" i="1" s="1"/>
  <c r="DS41" i="1"/>
  <c r="ED41" i="1"/>
  <c r="EF89" i="1"/>
  <c r="EG89" i="1" s="1"/>
  <c r="DU89" i="1"/>
  <c r="EH89" i="1" s="1"/>
  <c r="DS69" i="1"/>
  <c r="DU66" i="1"/>
  <c r="EH66" i="1" s="1"/>
  <c r="EF66" i="1"/>
  <c r="EG66" i="1" s="1"/>
  <c r="DU95" i="1"/>
  <c r="EH95" i="1" s="1"/>
  <c r="EF95" i="1"/>
  <c r="EG95" i="1" s="1"/>
  <c r="DS35" i="1"/>
  <c r="ED35" i="1"/>
  <c r="EF40" i="1"/>
  <c r="EG40" i="1" s="1"/>
  <c r="DU40" i="1"/>
  <c r="EH40" i="1" s="1"/>
  <c r="EF34" i="1"/>
  <c r="EG34" i="1" s="1"/>
  <c r="DU34" i="1"/>
  <c r="EH34" i="1" s="1"/>
  <c r="EF51" i="1"/>
  <c r="EG51" i="1" s="1"/>
  <c r="DU51" i="1"/>
  <c r="EH51" i="1" s="1"/>
  <c r="EF9" i="1"/>
  <c r="EG9" i="1" s="1"/>
  <c r="DU60" i="1"/>
  <c r="EH60" i="1" s="1"/>
  <c r="EF4" i="1"/>
  <c r="EG4" i="1" s="1"/>
  <c r="DU4" i="1"/>
  <c r="EH4" i="1" s="1"/>
  <c r="EC107" i="1"/>
  <c r="DT107" i="1"/>
  <c r="AX25" i="2"/>
  <c r="DQ25" i="2" s="1"/>
  <c r="DR25" i="1"/>
  <c r="DT70" i="1"/>
  <c r="EC70" i="1"/>
  <c r="EC53" i="1"/>
  <c r="DT53" i="1"/>
  <c r="EF71" i="1"/>
  <c r="EG71" i="1" s="1"/>
  <c r="DU71" i="1"/>
  <c r="EH71" i="1" s="1"/>
  <c r="DU12" i="1"/>
  <c r="EH12" i="1" s="1"/>
  <c r="EF12" i="1"/>
  <c r="EG12" i="1" s="1"/>
  <c r="EF24" i="1"/>
  <c r="EG24" i="1" s="1"/>
  <c r="DU24" i="1"/>
  <c r="EH24" i="1" s="1"/>
  <c r="AX119" i="1"/>
  <c r="AX119" i="2" s="1"/>
  <c r="DQ119" i="2" s="1"/>
  <c r="DU68" i="1"/>
  <c r="EH68" i="1" s="1"/>
  <c r="EF68" i="1"/>
  <c r="EG68" i="1" s="1"/>
  <c r="EF93" i="1"/>
  <c r="EG93" i="1" s="1"/>
  <c r="DU93" i="1"/>
  <c r="EH93" i="1" s="1"/>
  <c r="EC59" i="1"/>
  <c r="AX29" i="2"/>
  <c r="DQ29" i="2" s="1"/>
  <c r="DR29" i="1"/>
  <c r="EC56" i="1"/>
  <c r="DT56" i="1"/>
  <c r="BH119" i="2"/>
  <c r="EF16" i="1"/>
  <c r="EG16" i="1" s="1"/>
  <c r="DU16" i="1"/>
  <c r="EH16" i="1" s="1"/>
  <c r="DT2" i="1"/>
  <c r="EC2" i="1"/>
  <c r="EF32" i="1"/>
  <c r="EG32" i="1" s="1"/>
  <c r="DU32" i="1"/>
  <c r="EH32" i="1" s="1"/>
  <c r="EF43" i="1"/>
  <c r="EG43" i="1" s="1"/>
  <c r="DU43" i="1"/>
  <c r="EH43" i="1" s="1"/>
  <c r="DS58" i="1"/>
  <c r="DT81" i="1"/>
  <c r="EC55" i="1"/>
  <c r="DT55" i="1"/>
  <c r="DP119" i="2"/>
  <c r="AX117" i="2"/>
  <c r="DQ117" i="2" s="1"/>
  <c r="DR117" i="1"/>
  <c r="ED108" i="1"/>
  <c r="DS108" i="1"/>
  <c r="DS106" i="1"/>
  <c r="DU103" i="1"/>
  <c r="EH103" i="1" s="1"/>
  <c r="ED94" i="1"/>
  <c r="DS94" i="1"/>
  <c r="EF91" i="1"/>
  <c r="EG91" i="1" s="1"/>
  <c r="ED45" i="1"/>
  <c r="DS45" i="1"/>
  <c r="DS99" i="1"/>
  <c r="EC54" i="1"/>
  <c r="DT54" i="1"/>
  <c r="EC22" i="1"/>
  <c r="DT22" i="1"/>
  <c r="DS63" i="1"/>
  <c r="AX33" i="2"/>
  <c r="DQ33" i="2" s="1"/>
  <c r="DR33" i="1"/>
  <c r="EC49" i="1"/>
  <c r="DT49" i="1"/>
  <c r="DS36" i="1"/>
  <c r="DS39" i="1"/>
  <c r="BI119" i="2"/>
  <c r="EF15" i="1" l="1"/>
  <c r="EG15" i="1" s="1"/>
  <c r="DU64" i="1"/>
  <c r="EH64" i="1" s="1"/>
  <c r="DT103" i="1"/>
  <c r="DT23" i="1"/>
  <c r="EF110" i="1"/>
  <c r="EG110" i="1" s="1"/>
  <c r="DT90" i="1"/>
  <c r="DT104" i="1"/>
  <c r="EF73" i="1"/>
  <c r="EG73" i="1" s="1"/>
  <c r="EC10" i="1"/>
  <c r="EF72" i="1"/>
  <c r="EG72" i="1" s="1"/>
  <c r="DT42" i="1"/>
  <c r="DT82" i="1"/>
  <c r="EC85" i="1"/>
  <c r="DT85" i="1"/>
  <c r="EC18" i="1"/>
  <c r="DT18" i="1"/>
  <c r="DT37" i="1"/>
  <c r="EC37" i="1"/>
  <c r="DU38" i="1"/>
  <c r="EH38" i="1" s="1"/>
  <c r="DT97" i="1"/>
  <c r="EC105" i="1"/>
  <c r="EF105" i="1" s="1"/>
  <c r="EG105" i="1" s="1"/>
  <c r="EC19" i="1"/>
  <c r="DT19" i="1"/>
  <c r="DU11" i="1"/>
  <c r="EH11" i="1" s="1"/>
  <c r="EF11" i="1"/>
  <c r="EG11" i="1" s="1"/>
  <c r="EC109" i="1"/>
  <c r="DT109" i="1"/>
  <c r="DT114" i="1"/>
  <c r="DO119" i="1"/>
  <c r="DO120" i="1" s="1"/>
  <c r="DU101" i="1"/>
  <c r="EH101" i="1" s="1"/>
  <c r="EG101" i="1"/>
  <c r="EF98" i="1"/>
  <c r="EG98" i="1" s="1"/>
  <c r="DU98" i="1"/>
  <c r="EH98" i="1" s="1"/>
  <c r="EA118" i="3"/>
  <c r="DR118" i="3"/>
  <c r="EE9" i="3"/>
  <c r="DS9" i="3"/>
  <c r="EF9" i="3" s="1"/>
  <c r="EG9" i="3" s="1"/>
  <c r="EE6" i="3"/>
  <c r="DS6" i="3"/>
  <c r="EF6" i="3" s="1"/>
  <c r="EG6" i="3" s="1"/>
  <c r="ED16" i="3"/>
  <c r="DS16" i="3"/>
  <c r="EF16" i="3" s="1"/>
  <c r="EG16" i="3" s="1"/>
  <c r="EE16" i="3"/>
  <c r="EE37" i="3"/>
  <c r="ED37" i="3"/>
  <c r="DS37" i="3"/>
  <c r="EF37" i="3" s="1"/>
  <c r="EG37" i="3" s="1"/>
  <c r="EE69" i="3"/>
  <c r="ED69" i="3" s="1"/>
  <c r="DS69" i="3"/>
  <c r="EF69" i="3" s="1"/>
  <c r="EG69" i="3" s="1"/>
  <c r="EA23" i="3"/>
  <c r="DR23" i="3"/>
  <c r="DS92" i="3"/>
  <c r="EF92" i="3" s="1"/>
  <c r="EG92" i="3" s="1"/>
  <c r="EE92" i="3"/>
  <c r="ED92" i="3" s="1"/>
  <c r="DS102" i="3"/>
  <c r="EF102" i="3" s="1"/>
  <c r="EG102" i="3" s="1"/>
  <c r="EE102" i="3"/>
  <c r="ED102" i="3" s="1"/>
  <c r="EA34" i="3"/>
  <c r="DR34" i="3"/>
  <c r="DS100" i="3"/>
  <c r="EF100" i="3" s="1"/>
  <c r="EG100" i="3" s="1"/>
  <c r="EE100" i="3"/>
  <c r="ED100" i="3" s="1"/>
  <c r="EE19" i="3"/>
  <c r="ED19" i="3"/>
  <c r="DS19" i="3"/>
  <c r="EF19" i="3" s="1"/>
  <c r="EG19" i="3" s="1"/>
  <c r="ED14" i="3"/>
  <c r="DS14" i="3"/>
  <c r="EF14" i="3" s="1"/>
  <c r="EG14" i="3" s="1"/>
  <c r="EE14" i="3"/>
  <c r="EE3" i="3"/>
  <c r="DS3" i="3"/>
  <c r="DS99" i="3"/>
  <c r="EF99" i="3" s="1"/>
  <c r="EG99" i="3" s="1"/>
  <c r="EE99" i="3"/>
  <c r="ED99" i="3"/>
  <c r="EE26" i="3"/>
  <c r="DS26" i="3"/>
  <c r="EF26" i="3" s="1"/>
  <c r="EG26" i="3" s="1"/>
  <c r="EA87" i="3"/>
  <c r="DR87" i="3"/>
  <c r="EE54" i="3"/>
  <c r="ED54" i="3" s="1"/>
  <c r="DS54" i="3"/>
  <c r="EF54" i="3" s="1"/>
  <c r="EG54" i="3" s="1"/>
  <c r="DS108" i="3"/>
  <c r="EF108" i="3" s="1"/>
  <c r="EG108" i="3" s="1"/>
  <c r="EE108" i="3"/>
  <c r="ED108" i="3" s="1"/>
  <c r="EE96" i="3"/>
  <c r="ED96" i="3" s="1"/>
  <c r="DS96" i="3"/>
  <c r="EF96" i="3" s="1"/>
  <c r="EG96" i="3" s="1"/>
  <c r="AW122" i="3"/>
  <c r="DJ132" i="3"/>
  <c r="DJ133" i="3" s="1"/>
  <c r="EE95" i="3"/>
  <c r="ED95" i="3" s="1"/>
  <c r="DS95" i="3"/>
  <c r="EF95" i="3" s="1"/>
  <c r="EG95" i="3" s="1"/>
  <c r="DS58" i="3"/>
  <c r="EF58" i="3" s="1"/>
  <c r="EG58" i="3" s="1"/>
  <c r="EE58" i="3"/>
  <c r="ED58" i="3" s="1"/>
  <c r="ED85" i="3"/>
  <c r="DS85" i="3"/>
  <c r="EF85" i="3" s="1"/>
  <c r="EG85" i="3" s="1"/>
  <c r="EE85" i="3"/>
  <c r="DS51" i="3"/>
  <c r="EF51" i="3" s="1"/>
  <c r="EG51" i="3" s="1"/>
  <c r="EE51" i="3"/>
  <c r="ED51" i="3"/>
  <c r="EC5" i="3"/>
  <c r="EC120" i="3" s="1"/>
  <c r="DQ5" i="3"/>
  <c r="DP120" i="3"/>
  <c r="DS60" i="3"/>
  <c r="EF60" i="3" s="1"/>
  <c r="EG60" i="3" s="1"/>
  <c r="EE60" i="3"/>
  <c r="ED60" i="3"/>
  <c r="DS31" i="3"/>
  <c r="EF31" i="3" s="1"/>
  <c r="EG31" i="3" s="1"/>
  <c r="EE31" i="3"/>
  <c r="DS80" i="3"/>
  <c r="EF80" i="3" s="1"/>
  <c r="EG80" i="3" s="1"/>
  <c r="EE80" i="3"/>
  <c r="ED80" i="3" s="1"/>
  <c r="EE116" i="3"/>
  <c r="ED116" i="3" s="1"/>
  <c r="DS116" i="3"/>
  <c r="EF116" i="3" s="1"/>
  <c r="EG116" i="3" s="1"/>
  <c r="DS43" i="3"/>
  <c r="EF43" i="3" s="1"/>
  <c r="EG43" i="3" s="1"/>
  <c r="EE43" i="3"/>
  <c r="ED43" i="3" s="1"/>
  <c r="DR117" i="3"/>
  <c r="EA117" i="3"/>
  <c r="EA30" i="3"/>
  <c r="DR30" i="3"/>
  <c r="EA90" i="3"/>
  <c r="DR90" i="3"/>
  <c r="EE88" i="3"/>
  <c r="ED88" i="3"/>
  <c r="DS88" i="3"/>
  <c r="EF88" i="3" s="1"/>
  <c r="EG88" i="3" s="1"/>
  <c r="EE12" i="3"/>
  <c r="ED12" i="3" s="1"/>
  <c r="DS12" i="3"/>
  <c r="EF12" i="3" s="1"/>
  <c r="EG12" i="3" s="1"/>
  <c r="DS109" i="3"/>
  <c r="EF109" i="3" s="1"/>
  <c r="EG109" i="3" s="1"/>
  <c r="EE109" i="3"/>
  <c r="ED109" i="3" s="1"/>
  <c r="DS52" i="3"/>
  <c r="EF52" i="3" s="1"/>
  <c r="EG52" i="3" s="1"/>
  <c r="EE52" i="3"/>
  <c r="ED52" i="3"/>
  <c r="DU54" i="1"/>
  <c r="EH54" i="1" s="1"/>
  <c r="EF54" i="1"/>
  <c r="EG54" i="1" s="1"/>
  <c r="EC94" i="1"/>
  <c r="DT94" i="1"/>
  <c r="EF53" i="1"/>
  <c r="EG53" i="1" s="1"/>
  <c r="DU53" i="1"/>
  <c r="EH53" i="1" s="1"/>
  <c r="DT3" i="1"/>
  <c r="EC3" i="1"/>
  <c r="EF82" i="1"/>
  <c r="EG82" i="1" s="1"/>
  <c r="DU82" i="1"/>
  <c r="EH82" i="1" s="1"/>
  <c r="EF8" i="1"/>
  <c r="EG8" i="1" s="1"/>
  <c r="DU8" i="1"/>
  <c r="EH8" i="1" s="1"/>
  <c r="EF21" i="1"/>
  <c r="EG21" i="1" s="1"/>
  <c r="DU21" i="1"/>
  <c r="EH21" i="1" s="1"/>
  <c r="EC115" i="1"/>
  <c r="DT115" i="1"/>
  <c r="EF49" i="1"/>
  <c r="EG49" i="1" s="1"/>
  <c r="DU49" i="1"/>
  <c r="EH49" i="1" s="1"/>
  <c r="DT58" i="1"/>
  <c r="EC58" i="1"/>
  <c r="EF70" i="1"/>
  <c r="EG70" i="1" s="1"/>
  <c r="DU70" i="1"/>
  <c r="EH70" i="1" s="1"/>
  <c r="DU107" i="1"/>
  <c r="EH107" i="1" s="1"/>
  <c r="EF107" i="1"/>
  <c r="EG107" i="1" s="1"/>
  <c r="EC69" i="1"/>
  <c r="DT69" i="1"/>
  <c r="EC57" i="1"/>
  <c r="DT57" i="1"/>
  <c r="EE30" i="1"/>
  <c r="DS30" i="1"/>
  <c r="EF114" i="1"/>
  <c r="EG114" i="1" s="1"/>
  <c r="DU114" i="1"/>
  <c r="EH114" i="1" s="1"/>
  <c r="EC99" i="1"/>
  <c r="DT99" i="1"/>
  <c r="EE29" i="1"/>
  <c r="DS29" i="1"/>
  <c r="EC39" i="1"/>
  <c r="DT39" i="1"/>
  <c r="DT41" i="1"/>
  <c r="EC41" i="1"/>
  <c r="EC75" i="1"/>
  <c r="DT75" i="1"/>
  <c r="EC36" i="1"/>
  <c r="DT36" i="1"/>
  <c r="DT74" i="1"/>
  <c r="EC74" i="1"/>
  <c r="DT77" i="1"/>
  <c r="EC77" i="1"/>
  <c r="EC63" i="1"/>
  <c r="DT63" i="1"/>
  <c r="DU55" i="1"/>
  <c r="EH55" i="1" s="1"/>
  <c r="EF55" i="1"/>
  <c r="EG55" i="1" s="1"/>
  <c r="DU42" i="1"/>
  <c r="EH42" i="1" s="1"/>
  <c r="EF42" i="1"/>
  <c r="EG42" i="1" s="1"/>
  <c r="EC116" i="1"/>
  <c r="DT116" i="1"/>
  <c r="DU90" i="1"/>
  <c r="EH90" i="1" s="1"/>
  <c r="EF90" i="1"/>
  <c r="EG90" i="1" s="1"/>
  <c r="EE5" i="1"/>
  <c r="DS5" i="1"/>
  <c r="DR119" i="1"/>
  <c r="EE87" i="1"/>
  <c r="DS87" i="1"/>
  <c r="DU104" i="1"/>
  <c r="EH104" i="1" s="1"/>
  <c r="EF104" i="1"/>
  <c r="EG104" i="1" s="1"/>
  <c r="EC13" i="1"/>
  <c r="DT13" i="1"/>
  <c r="EC100" i="1"/>
  <c r="DT100" i="1"/>
  <c r="Z119" i="2"/>
  <c r="DT52" i="1"/>
  <c r="EC52" i="1"/>
  <c r="EC65" i="1"/>
  <c r="DT65" i="1"/>
  <c r="DU23" i="1"/>
  <c r="EH23" i="1" s="1"/>
  <c r="EF23" i="1"/>
  <c r="EG23" i="1" s="1"/>
  <c r="EC83" i="1"/>
  <c r="DT83" i="1"/>
  <c r="EC111" i="1"/>
  <c r="DT111" i="1"/>
  <c r="EC45" i="1"/>
  <c r="DT45" i="1"/>
  <c r="DT106" i="1"/>
  <c r="EC106" i="1"/>
  <c r="DT35" i="1"/>
  <c r="EC35" i="1"/>
  <c r="EE86" i="1"/>
  <c r="DS86" i="1"/>
  <c r="EC7" i="1"/>
  <c r="DT7" i="1"/>
  <c r="DU20" i="1"/>
  <c r="EH20" i="1" s="1"/>
  <c r="EF20" i="1"/>
  <c r="EG20" i="1" s="1"/>
  <c r="EE33" i="1"/>
  <c r="DS33" i="1"/>
  <c r="EF56" i="1"/>
  <c r="EG56" i="1" s="1"/>
  <c r="DU56" i="1"/>
  <c r="EH56" i="1" s="1"/>
  <c r="DU22" i="1"/>
  <c r="EH22" i="1" s="1"/>
  <c r="EF22" i="1"/>
  <c r="EG22" i="1" s="1"/>
  <c r="EC108" i="1"/>
  <c r="DT108" i="1"/>
  <c r="EF81" i="1"/>
  <c r="EG81" i="1" s="1"/>
  <c r="DU81" i="1"/>
  <c r="EH81" i="1" s="1"/>
  <c r="EF59" i="1"/>
  <c r="EG59" i="1" s="1"/>
  <c r="DU59" i="1"/>
  <c r="EH59" i="1" s="1"/>
  <c r="EE25" i="1"/>
  <c r="DS25" i="1"/>
  <c r="EC28" i="1"/>
  <c r="DT28" i="1"/>
  <c r="DT113" i="1"/>
  <c r="EC113" i="1"/>
  <c r="EC84" i="1"/>
  <c r="DT84" i="1"/>
  <c r="DT17" i="1"/>
  <c r="EC17" i="1"/>
  <c r="ED119" i="1"/>
  <c r="EC78" i="1"/>
  <c r="DT78" i="1"/>
  <c r="DU105" i="1"/>
  <c r="EH105" i="1" s="1"/>
  <c r="EE117" i="1"/>
  <c r="DS117" i="1"/>
  <c r="EF97" i="1"/>
  <c r="EG97" i="1" s="1"/>
  <c r="DU97" i="1"/>
  <c r="EH97" i="1" s="1"/>
  <c r="EF2" i="1"/>
  <c r="EG2" i="1" s="1"/>
  <c r="DU2" i="1"/>
  <c r="EC50" i="1"/>
  <c r="DT50" i="1"/>
  <c r="EF47" i="1"/>
  <c r="EG47" i="1" s="1"/>
  <c r="DU47" i="1"/>
  <c r="EH47" i="1" s="1"/>
  <c r="EF10" i="1" l="1"/>
  <c r="EG10" i="1" s="1"/>
  <c r="DU10" i="1"/>
  <c r="EH10" i="1" s="1"/>
  <c r="EF85" i="1"/>
  <c r="EG85" i="1" s="1"/>
  <c r="DU85" i="1"/>
  <c r="EH85" i="1" s="1"/>
  <c r="DU37" i="1"/>
  <c r="EH37" i="1" s="1"/>
  <c r="EF37" i="1"/>
  <c r="EG37" i="1" s="1"/>
  <c r="EF18" i="1"/>
  <c r="EG18" i="1" s="1"/>
  <c r="DU18" i="1"/>
  <c r="EH18" i="1" s="1"/>
  <c r="EF19" i="1"/>
  <c r="EG19" i="1" s="1"/>
  <c r="DU19" i="1"/>
  <c r="EH19" i="1" s="1"/>
  <c r="DU109" i="1"/>
  <c r="EH109" i="1" s="1"/>
  <c r="EF109" i="1"/>
  <c r="EG109" i="1" s="1"/>
  <c r="DR5" i="3"/>
  <c r="EA5" i="3"/>
  <c r="DQ120" i="3"/>
  <c r="DR120" i="3" s="1"/>
  <c r="EF3" i="3"/>
  <c r="DS34" i="3"/>
  <c r="EF34" i="3" s="1"/>
  <c r="EG34" i="3" s="1"/>
  <c r="EE34" i="3"/>
  <c r="ED3" i="3"/>
  <c r="ED120" i="3" s="1"/>
  <c r="EE87" i="3"/>
  <c r="DS87" i="3"/>
  <c r="EF87" i="3" s="1"/>
  <c r="EG87" i="3" s="1"/>
  <c r="EE90" i="3"/>
  <c r="DS90" i="3"/>
  <c r="EF90" i="3" s="1"/>
  <c r="EG90" i="3" s="1"/>
  <c r="EE117" i="3"/>
  <c r="DS117" i="3"/>
  <c r="EF117" i="3" s="1"/>
  <c r="EG117" i="3" s="1"/>
  <c r="DS23" i="3"/>
  <c r="EF23" i="3" s="1"/>
  <c r="EG23" i="3" s="1"/>
  <c r="EE23" i="3"/>
  <c r="DS30" i="3"/>
  <c r="EF30" i="3" s="1"/>
  <c r="EG30" i="3" s="1"/>
  <c r="EE30" i="3"/>
  <c r="DS118" i="3"/>
  <c r="EF118" i="3" s="1"/>
  <c r="EG118" i="3" s="1"/>
  <c r="EE118" i="3"/>
  <c r="DT5" i="1"/>
  <c r="EC5" i="1"/>
  <c r="DS119" i="1"/>
  <c r="DS120" i="1" s="1"/>
  <c r="EF78" i="1"/>
  <c r="EG78" i="1" s="1"/>
  <c r="DU78" i="1"/>
  <c r="EH78" i="1" s="1"/>
  <c r="DU7" i="1"/>
  <c r="EH7" i="1" s="1"/>
  <c r="EF7" i="1"/>
  <c r="EG7" i="1" s="1"/>
  <c r="EF45" i="1"/>
  <c r="EG45" i="1" s="1"/>
  <c r="DU45" i="1"/>
  <c r="EH45" i="1" s="1"/>
  <c r="EF13" i="1"/>
  <c r="EG13" i="1" s="1"/>
  <c r="DU13" i="1"/>
  <c r="EH13" i="1" s="1"/>
  <c r="EE119" i="1"/>
  <c r="EF74" i="1"/>
  <c r="EG74" i="1" s="1"/>
  <c r="DU74" i="1"/>
  <c r="EH74" i="1" s="1"/>
  <c r="DU28" i="1"/>
  <c r="EH28" i="1" s="1"/>
  <c r="EF28" i="1"/>
  <c r="EG28" i="1" s="1"/>
  <c r="EC86" i="1"/>
  <c r="DT86" i="1"/>
  <c r="DU65" i="1"/>
  <c r="EH65" i="1" s="1"/>
  <c r="EF65" i="1"/>
  <c r="EG65" i="1" s="1"/>
  <c r="DU39" i="1"/>
  <c r="EH39" i="1" s="1"/>
  <c r="EF39" i="1"/>
  <c r="EG39" i="1" s="1"/>
  <c r="EC30" i="1"/>
  <c r="DT30" i="1"/>
  <c r="EC117" i="1"/>
  <c r="DT117" i="1"/>
  <c r="EF17" i="1"/>
  <c r="EG17" i="1" s="1"/>
  <c r="DU17" i="1"/>
  <c r="EH17" i="1" s="1"/>
  <c r="DU111" i="1"/>
  <c r="EH111" i="1" s="1"/>
  <c r="EF111" i="1"/>
  <c r="EG111" i="1" s="1"/>
  <c r="DU108" i="1"/>
  <c r="EH108" i="1" s="1"/>
  <c r="EF108" i="1"/>
  <c r="EG108" i="1" s="1"/>
  <c r="EF35" i="1"/>
  <c r="EG35" i="1" s="1"/>
  <c r="DU35" i="1"/>
  <c r="EH35" i="1" s="1"/>
  <c r="DU36" i="1"/>
  <c r="EH36" i="1" s="1"/>
  <c r="EF36" i="1"/>
  <c r="EG36" i="1" s="1"/>
  <c r="EH2" i="1"/>
  <c r="DU83" i="1"/>
  <c r="EH83" i="1" s="1"/>
  <c r="EF83" i="1"/>
  <c r="EG83" i="1" s="1"/>
  <c r="EC87" i="1"/>
  <c r="DT87" i="1"/>
  <c r="EF57" i="1"/>
  <c r="EG57" i="1" s="1"/>
  <c r="DU57" i="1"/>
  <c r="EH57" i="1" s="1"/>
  <c r="DU115" i="1"/>
  <c r="EH115" i="1" s="1"/>
  <c r="EF115" i="1"/>
  <c r="EG115" i="1" s="1"/>
  <c r="DU94" i="1"/>
  <c r="EH94" i="1" s="1"/>
  <c r="EF94" i="1"/>
  <c r="EG94" i="1" s="1"/>
  <c r="EF50" i="1"/>
  <c r="EG50" i="1" s="1"/>
  <c r="DU50" i="1"/>
  <c r="EH50" i="1" s="1"/>
  <c r="EC25" i="1"/>
  <c r="DT25" i="1"/>
  <c r="EC33" i="1"/>
  <c r="DT33" i="1"/>
  <c r="EF52" i="1"/>
  <c r="EG52" i="1" s="1"/>
  <c r="DU52" i="1"/>
  <c r="EH52" i="1" s="1"/>
  <c r="EC29" i="1"/>
  <c r="DT29" i="1"/>
  <c r="DU84" i="1"/>
  <c r="EH84" i="1" s="1"/>
  <c r="EF84" i="1"/>
  <c r="EG84" i="1" s="1"/>
  <c r="EF106" i="1"/>
  <c r="EG106" i="1" s="1"/>
  <c r="DU106" i="1"/>
  <c r="EH106" i="1" s="1"/>
  <c r="DU116" i="1"/>
  <c r="EH116" i="1" s="1"/>
  <c r="EF116" i="1"/>
  <c r="EG116" i="1" s="1"/>
  <c r="EF63" i="1"/>
  <c r="EG63" i="1" s="1"/>
  <c r="DU63" i="1"/>
  <c r="EH63" i="1" s="1"/>
  <c r="EF75" i="1"/>
  <c r="EG75" i="1" s="1"/>
  <c r="DU75" i="1"/>
  <c r="EH75" i="1" s="1"/>
  <c r="DU99" i="1"/>
  <c r="EH99" i="1" s="1"/>
  <c r="EF99" i="1"/>
  <c r="EG99" i="1" s="1"/>
  <c r="EF113" i="1"/>
  <c r="EG113" i="1" s="1"/>
  <c r="DU113" i="1"/>
  <c r="EH113" i="1" s="1"/>
  <c r="DU100" i="1"/>
  <c r="EH100" i="1" s="1"/>
  <c r="EF100" i="1"/>
  <c r="EG100" i="1" s="1"/>
  <c r="EF77" i="1"/>
  <c r="EG77" i="1"/>
  <c r="DU77" i="1"/>
  <c r="EH77" i="1" s="1"/>
  <c r="EF41" i="1"/>
  <c r="EG41" i="1" s="1"/>
  <c r="DU41" i="1"/>
  <c r="EH41" i="1" s="1"/>
  <c r="DU69" i="1"/>
  <c r="EH69" i="1" s="1"/>
  <c r="EF69" i="1"/>
  <c r="EG69" i="1" s="1"/>
  <c r="DU58" i="1"/>
  <c r="EH58" i="1" s="1"/>
  <c r="EF58" i="1"/>
  <c r="EG58" i="1" s="1"/>
  <c r="EF3" i="1"/>
  <c r="EG3" i="1" s="1"/>
  <c r="DU3" i="1"/>
  <c r="EH3" i="1" s="1"/>
  <c r="DT119" i="1" l="1"/>
  <c r="EG3" i="3"/>
  <c r="EE5" i="3"/>
  <c r="EE120" i="3" s="1"/>
  <c r="DS5" i="3"/>
  <c r="EA120" i="3"/>
  <c r="EA122" i="3"/>
  <c r="EA123" i="3" s="1"/>
  <c r="EF33" i="1"/>
  <c r="EG33" i="1" s="1"/>
  <c r="DU33" i="1"/>
  <c r="EH33" i="1" s="1"/>
  <c r="EF87" i="1"/>
  <c r="EG87" i="1" s="1"/>
  <c r="DU87" i="1"/>
  <c r="EH87" i="1" s="1"/>
  <c r="EF30" i="1"/>
  <c r="EG30" i="1" s="1"/>
  <c r="DU30" i="1"/>
  <c r="EH30" i="1" s="1"/>
  <c r="EF86" i="1"/>
  <c r="EG86" i="1" s="1"/>
  <c r="DU86" i="1"/>
  <c r="EH86" i="1" s="1"/>
  <c r="EF29" i="1"/>
  <c r="EG29" i="1" s="1"/>
  <c r="DU29" i="1"/>
  <c r="EH29" i="1" s="1"/>
  <c r="DU25" i="1"/>
  <c r="EH25" i="1" s="1"/>
  <c r="EF25" i="1"/>
  <c r="EG25" i="1" s="1"/>
  <c r="EF5" i="1"/>
  <c r="DU5" i="1"/>
  <c r="EH5" i="1" s="1"/>
  <c r="EC119" i="1"/>
  <c r="EF117" i="1"/>
  <c r="EG117" i="1" s="1"/>
  <c r="DU117" i="1"/>
  <c r="EH117" i="1" s="1"/>
  <c r="EF119" i="1" l="1"/>
  <c r="EF5" i="3"/>
  <c r="DS120" i="3"/>
  <c r="EG5" i="1"/>
  <c r="DU119" i="1"/>
  <c r="EG5" i="3" l="1"/>
  <c r="EF120" i="3"/>
</calcChain>
</file>

<file path=xl/sharedStrings.xml><?xml version="1.0" encoding="utf-8"?>
<sst xmlns="http://schemas.openxmlformats.org/spreadsheetml/2006/main" count="1766" uniqueCount="398">
  <si>
    <t>School Code</t>
  </si>
  <si>
    <t>School Name</t>
  </si>
  <si>
    <t>School Type</t>
  </si>
  <si>
    <t>Ward</t>
  </si>
  <si>
    <t>FY 21 Projected Enrollment</t>
  </si>
  <si>
    <t>FY21 At-risk %</t>
  </si>
  <si>
    <t>FY21 At-risk #</t>
  </si>
  <si>
    <t>Principal</t>
  </si>
  <si>
    <t>Instructional Coach</t>
  </si>
  <si>
    <t>Assistant Principal</t>
  </si>
  <si>
    <t xml:space="preserve">Guidance Counselor (MG) </t>
  </si>
  <si>
    <t xml:space="preserve">Guidance Counselor (HS) </t>
  </si>
  <si>
    <t>Business Manager</t>
  </si>
  <si>
    <t>Administrative Aide</t>
  </si>
  <si>
    <t>Clerk</t>
  </si>
  <si>
    <t>Registrar</t>
  </si>
  <si>
    <t>Attendance Counselor</t>
  </si>
  <si>
    <t>At-risk Attendance Counselore</t>
  </si>
  <si>
    <t>Custodial Foreman</t>
  </si>
  <si>
    <t>RW-5</t>
  </si>
  <si>
    <t>RW-3</t>
  </si>
  <si>
    <t>Librarian</t>
  </si>
  <si>
    <t>Art Teacher</t>
  </si>
  <si>
    <t>Music Teacher</t>
  </si>
  <si>
    <t>Physical Education Teacher</t>
  </si>
  <si>
    <t>Add'l Related Arts</t>
  </si>
  <si>
    <t>At-risk Add'l Related Arts</t>
  </si>
  <si>
    <t>PK3 Teacher</t>
  </si>
  <si>
    <t>PK3 Aide</t>
  </si>
  <si>
    <t>Mixed Age Teacher</t>
  </si>
  <si>
    <t>Mixed Aide</t>
  </si>
  <si>
    <t>PK4 Teacher</t>
  </si>
  <si>
    <t>PK4 Aide</t>
  </si>
  <si>
    <t>Kindergarten Teacher</t>
  </si>
  <si>
    <t>Kindergarten Aide</t>
  </si>
  <si>
    <t>1st Grade Teacher</t>
  </si>
  <si>
    <t>2nd Grade Teacher</t>
  </si>
  <si>
    <t>3rd Grade Teacher</t>
  </si>
  <si>
    <t>4th Grade Teacher</t>
  </si>
  <si>
    <t>5th Grade Teacher</t>
  </si>
  <si>
    <t>6th Grade Teacher</t>
  </si>
  <si>
    <t>7th Grade Teacher</t>
  </si>
  <si>
    <t>8th Grade Teacher</t>
  </si>
  <si>
    <t>9th Grade Teacher</t>
  </si>
  <si>
    <t>10th Grade Teacher</t>
  </si>
  <si>
    <t>11th Grade Teacher</t>
  </si>
  <si>
    <t>12th Grade Teacher</t>
  </si>
  <si>
    <t>UG Teacher</t>
  </si>
  <si>
    <t>High School Teacher</t>
  </si>
  <si>
    <t>At-Risk General Ed Teacher</t>
  </si>
  <si>
    <t>School Psych</t>
  </si>
  <si>
    <t>Social Worker</t>
  </si>
  <si>
    <t>SPED Teacher</t>
  </si>
  <si>
    <t>SPED Aide</t>
  </si>
  <si>
    <t>SPED Behavior Tech</t>
  </si>
  <si>
    <t>Board Certified Behavior Analyst SPE</t>
  </si>
  <si>
    <t>ELL Teacher</t>
  </si>
  <si>
    <t>ELL Aide</t>
  </si>
  <si>
    <t>ELL Counselor</t>
  </si>
  <si>
    <t>Afterschool Program Teacher</t>
  </si>
  <si>
    <t>Afterschool Program Aide</t>
  </si>
  <si>
    <t>Afterschool Program Admin Asst</t>
  </si>
  <si>
    <t>Credit Recovery</t>
  </si>
  <si>
    <t>Alter School Credit Recovery</t>
  </si>
  <si>
    <t>ASP Grants 21st CCLC</t>
  </si>
  <si>
    <t xml:space="preserve">Title I Instruction </t>
  </si>
  <si>
    <t xml:space="preserve">Title I Parental Involvement </t>
  </si>
  <si>
    <t xml:space="preserve">Title II </t>
  </si>
  <si>
    <t xml:space="preserve">International Baccalaureate  </t>
  </si>
  <si>
    <t xml:space="preserve">School Enrichment Model Coordinator </t>
  </si>
  <si>
    <t>MS Assistant Principal Intervention</t>
  </si>
  <si>
    <t>Technology Instrucitonal Coach</t>
  </si>
  <si>
    <t>Reading Specialist</t>
  </si>
  <si>
    <t>Assistant Principal Literacy</t>
  </si>
  <si>
    <t>Ninth Grade Academy Assistant Principal</t>
  </si>
  <si>
    <t xml:space="preserve">Ninth Grade Academy Admin Prem </t>
  </si>
  <si>
    <t xml:space="preserve">Ninth Grade Academy NPS </t>
  </si>
  <si>
    <t xml:space="preserve">Ninth Grade Academy Field Trip Travel </t>
  </si>
  <si>
    <t xml:space="preserve">National Academy Foundation NPS </t>
  </si>
  <si>
    <t>Reading Recovery Teacher</t>
  </si>
  <si>
    <t>Twilight Coordinator</t>
  </si>
  <si>
    <t xml:space="preserve">Twilight Admin Premium </t>
  </si>
  <si>
    <t>JROTC Senior</t>
  </si>
  <si>
    <t>JROTC Junior</t>
  </si>
  <si>
    <t xml:space="preserve"> National Academy Foundation Director </t>
  </si>
  <si>
    <t xml:space="preserve"> National Academy Foundation Coordinator </t>
  </si>
  <si>
    <t xml:space="preserve"> National Academy Foundation Manager </t>
  </si>
  <si>
    <t xml:space="preserve">Teacher HPE Aquatics </t>
  </si>
  <si>
    <t xml:space="preserve">MS Teacher Investment </t>
  </si>
  <si>
    <t>At-risk MS Teacher Investment</t>
  </si>
  <si>
    <t>Exposures &amp; Excursions $ Value</t>
  </si>
  <si>
    <t>Clubs &amp; Activities $ Value</t>
  </si>
  <si>
    <t>Security</t>
  </si>
  <si>
    <t>Social Emotional</t>
  </si>
  <si>
    <t>Athletics Coordinator</t>
  </si>
  <si>
    <t>One STAR School Support $ Value</t>
  </si>
  <si>
    <t xml:space="preserve">At-risk Tech NPS </t>
  </si>
  <si>
    <t xml:space="preserve">Extended Day </t>
  </si>
  <si>
    <t>NPS Set-asides</t>
  </si>
  <si>
    <t xml:space="preserve">Over Age/Under Credit Coordinator </t>
  </si>
  <si>
    <t>Altern Over Age/Under Credit Coord</t>
  </si>
  <si>
    <t xml:space="preserve">Over Age/Under Credit New Tech </t>
  </si>
  <si>
    <t>Global Studies Coordinator</t>
  </si>
  <si>
    <t>Pool MOU Supply</t>
  </si>
  <si>
    <t xml:space="preserve">Pools MOU </t>
  </si>
  <si>
    <t>Admin Premium / Custodial OT</t>
  </si>
  <si>
    <t>NPS: 1.61% of PS ONLY</t>
  </si>
  <si>
    <t>Per Pupil Funding Minimum Adjustment</t>
  </si>
  <si>
    <t>Specialty Allocations</t>
  </si>
  <si>
    <t>3rd Grade HPE Swim Program</t>
  </si>
  <si>
    <t>IB Funds</t>
  </si>
  <si>
    <t>Aquatics Specialist</t>
  </si>
  <si>
    <t>At-risk payment equivalent</t>
  </si>
  <si>
    <t>At-risk Payment</t>
  </si>
  <si>
    <r>
      <t xml:space="preserve">Previous SIG Funding </t>
    </r>
    <r>
      <rPr>
        <sz val="10"/>
        <color theme="1"/>
        <rFont val="Calibri"/>
        <family val="2"/>
        <scheme val="minor"/>
      </rPr>
      <t>(Teacher, Coach, NPS)</t>
    </r>
  </si>
  <si>
    <t>Stabilization</t>
  </si>
  <si>
    <t>Chancellor Initial Asssitance</t>
  </si>
  <si>
    <t>Final Total</t>
  </si>
  <si>
    <t>CSM Core Program</t>
  </si>
  <si>
    <t>At Risk Allocations</t>
  </si>
  <si>
    <t>At-risk ASP/ECR</t>
  </si>
  <si>
    <t>Other At-risk eligible</t>
  </si>
  <si>
    <r>
      <t>At-risk unaccounted for /</t>
    </r>
    <r>
      <rPr>
        <sz val="11"/>
        <color rgb="FFFF0000"/>
        <rFont val="Calibri"/>
        <family val="2"/>
        <scheme val="minor"/>
      </rPr>
      <t>overage</t>
    </r>
  </si>
  <si>
    <t>% at-risk unaccounted for</t>
  </si>
  <si>
    <t>CSM + General Ed special allocations</t>
  </si>
  <si>
    <t>Special education</t>
  </si>
  <si>
    <t>English Language Learners</t>
  </si>
  <si>
    <t>Grants</t>
  </si>
  <si>
    <t>Specialty</t>
  </si>
  <si>
    <t>PPFM</t>
  </si>
  <si>
    <t>At-risk used for General ed</t>
  </si>
  <si>
    <t>At-risk total</t>
  </si>
  <si>
    <t>% at-risk for general ed</t>
  </si>
  <si>
    <t>Total</t>
  </si>
  <si>
    <t>Aiton ES</t>
  </si>
  <si>
    <t>ES</t>
  </si>
  <si>
    <t>Amidon-Bowen ES</t>
  </si>
  <si>
    <t>Anacostia HS</t>
  </si>
  <si>
    <t>HS</t>
  </si>
  <si>
    <t>Ballou HS</t>
  </si>
  <si>
    <t>Ballou STAY</t>
  </si>
  <si>
    <t>STAY</t>
  </si>
  <si>
    <t>N/A</t>
  </si>
  <si>
    <t>Bancroft ES</t>
  </si>
  <si>
    <t>Bard Early College HS</t>
  </si>
  <si>
    <t>Barnard ES</t>
  </si>
  <si>
    <t>Beers ES</t>
  </si>
  <si>
    <t>Benjamin Banneker HS</t>
  </si>
  <si>
    <t>Brent ES</t>
  </si>
  <si>
    <t>Brightwood Education Campus</t>
  </si>
  <si>
    <t>EC</t>
  </si>
  <si>
    <t>Brookland MS</t>
  </si>
  <si>
    <t>MS</t>
  </si>
  <si>
    <t>Browne EC</t>
  </si>
  <si>
    <t>Bruce-Monroe ES @ Park View</t>
  </si>
  <si>
    <t>Bunker Hill ES</t>
  </si>
  <si>
    <t>Burroughs ES</t>
  </si>
  <si>
    <t>Burrville ES</t>
  </si>
  <si>
    <t>C.W. Harris ES</t>
  </si>
  <si>
    <t>Cap Hill Montessori @ Logan</t>
  </si>
  <si>
    <t>Cardozo EC</t>
  </si>
  <si>
    <t>EC2</t>
  </si>
  <si>
    <t>Cleveland ES</t>
  </si>
  <si>
    <t>Columbia Heights EC (CHEC)</t>
  </si>
  <si>
    <t>Coolidge HS</t>
  </si>
  <si>
    <t>Deal MS</t>
  </si>
  <si>
    <t>Dorothy Height ES</t>
  </si>
  <si>
    <t>Drew ES</t>
  </si>
  <si>
    <t>Dunbar HS</t>
  </si>
  <si>
    <t>Eastern HS</t>
  </si>
  <si>
    <t>Eaton ES</t>
  </si>
  <si>
    <t>Eliot-Hine MS</t>
  </si>
  <si>
    <t>Ellington School of the Arts</t>
  </si>
  <si>
    <t>Excel Academy</t>
  </si>
  <si>
    <t>Garfield ES</t>
  </si>
  <si>
    <t>Garrison ES</t>
  </si>
  <si>
    <t>H.D. Cooke ES</t>
  </si>
  <si>
    <t>Hardy MS</t>
  </si>
  <si>
    <t>Hart MS</t>
  </si>
  <si>
    <t>Hearst ES</t>
  </si>
  <si>
    <t>Hendley ES</t>
  </si>
  <si>
    <t>Houston ES</t>
  </si>
  <si>
    <t>Hyde-Addison ES</t>
  </si>
  <si>
    <t>Inspiring Youth Program</t>
  </si>
  <si>
    <t>Alt</t>
  </si>
  <si>
    <t>J.O. Wilson ES</t>
  </si>
  <si>
    <t>Janney ES</t>
  </si>
  <si>
    <t>Jefferson Middle School Academy</t>
  </si>
  <si>
    <t>Johnson MS</t>
  </si>
  <si>
    <t>Kelly Miller MS</t>
  </si>
  <si>
    <t xml:space="preserve">Ketchem </t>
  </si>
  <si>
    <t>Key ES</t>
  </si>
  <si>
    <t>Kimball ES</t>
  </si>
  <si>
    <t>King, M.L. ES</t>
  </si>
  <si>
    <t>Kramer MS</t>
  </si>
  <si>
    <t>Lafayette ES</t>
  </si>
  <si>
    <t>Langdon EC</t>
  </si>
  <si>
    <t>Langley ES</t>
  </si>
  <si>
    <t>LaSalle-Backus EC</t>
  </si>
  <si>
    <t>Leckie EC</t>
  </si>
  <si>
    <t>Ludlow-Taylor ES</t>
  </si>
  <si>
    <t>Luke Moore Alternative HS</t>
  </si>
  <si>
    <t>MacFarland MS</t>
  </si>
  <si>
    <t>Malcolm X ES @ Green</t>
  </si>
  <si>
    <t>Mann ES</t>
  </si>
  <si>
    <t>Marie Reed ES</t>
  </si>
  <si>
    <t>Maury ES</t>
  </si>
  <si>
    <t>McKinley MS</t>
  </si>
  <si>
    <t>McKinley Technology HS</t>
  </si>
  <si>
    <t>Miner ES</t>
  </si>
  <si>
    <t>Moten ES</t>
  </si>
  <si>
    <t>Murch ES</t>
  </si>
  <si>
    <t>Nalle ES</t>
  </si>
  <si>
    <t>Ida B. Wells MS</t>
  </si>
  <si>
    <t>Noyes ES</t>
  </si>
  <si>
    <t>Boone ES</t>
  </si>
  <si>
    <t>Oyster-Adams Bilingual</t>
  </si>
  <si>
    <t>Patterson ES</t>
  </si>
  <si>
    <t>Payne ES</t>
  </si>
  <si>
    <t>Peabody ES</t>
  </si>
  <si>
    <t>Phelps ACE HS</t>
  </si>
  <si>
    <t>Plummer ES</t>
  </si>
  <si>
    <t>Powell ES</t>
  </si>
  <si>
    <t>Randle Highlands ES</t>
  </si>
  <si>
    <t>Raymond ES</t>
  </si>
  <si>
    <t>River Terrace SEC</t>
  </si>
  <si>
    <t>SEC</t>
  </si>
  <si>
    <t>Ron Brown College Preparatory High School</t>
  </si>
  <si>
    <t>Roosevelt HS</t>
  </si>
  <si>
    <t>Roosevelt STAY</t>
  </si>
  <si>
    <t>Ross ES</t>
  </si>
  <si>
    <t>Savoy ES</t>
  </si>
  <si>
    <t>School Without Walls @ Francis-Stevens</t>
  </si>
  <si>
    <t>School Without Walls HS</t>
  </si>
  <si>
    <t>School-Within-School @ Goding</t>
  </si>
  <si>
    <t>Seaton ES</t>
  </si>
  <si>
    <t>Shepherd ES</t>
  </si>
  <si>
    <t>Simon ES</t>
  </si>
  <si>
    <t>Smothers ES</t>
  </si>
  <si>
    <t>Sousa MS</t>
  </si>
  <si>
    <t>Stanton ES</t>
  </si>
  <si>
    <t>Stevens Early Learning Center</t>
  </si>
  <si>
    <t>Stoddert ES</t>
  </si>
  <si>
    <t>Stuart-Hobson MS</t>
  </si>
  <si>
    <t>Takoma EC</t>
  </si>
  <si>
    <t>Thomas ES</t>
  </si>
  <si>
    <t>Thomson ES</t>
  </si>
  <si>
    <t>Truesdell ES</t>
  </si>
  <si>
    <t>Tubman ES</t>
  </si>
  <si>
    <t>Turner ES</t>
  </si>
  <si>
    <t>Tyler ES</t>
  </si>
  <si>
    <t>Van Ness ES</t>
  </si>
  <si>
    <t>Walker-Jones EC</t>
  </si>
  <si>
    <t>Watkins ES</t>
  </si>
  <si>
    <t>West ES</t>
  </si>
  <si>
    <t>Wheatley EC</t>
  </si>
  <si>
    <t>Whittier EC</t>
  </si>
  <si>
    <t>Wilson HS</t>
  </si>
  <si>
    <t>Woodson, H.D. HS</t>
  </si>
  <si>
    <t>Youth Services Center ($2.5M MOU)</t>
  </si>
  <si>
    <t>% of Final Total</t>
  </si>
  <si>
    <t>% of Total At-risk</t>
  </si>
  <si>
    <t>Grants 21st CCLC</t>
  </si>
  <si>
    <t>Ninth Grade Academy Assistnat Principal</t>
  </si>
  <si>
    <t>Ninth Grade Academy NPS s</t>
  </si>
  <si>
    <t>Chancellor Initial Assitance</t>
  </si>
  <si>
    <t xml:space="preserve">ECE teachers </t>
  </si>
  <si>
    <t>ECE aides</t>
  </si>
  <si>
    <t>General Ed teachers Gr 1-12</t>
  </si>
  <si>
    <t>Special ed &amp; ELL ET15</t>
  </si>
  <si>
    <t>Special ed &amp; ELL aides</t>
  </si>
  <si>
    <t>Changes from posted</t>
  </si>
  <si>
    <t>Plus 6</t>
  </si>
  <si>
    <t>Less 2</t>
  </si>
  <si>
    <t>Less 41</t>
  </si>
  <si>
    <t>Plus 6.6</t>
  </si>
  <si>
    <t>eliminate 2</t>
  </si>
  <si>
    <t>Plus  $376,143</t>
  </si>
  <si>
    <t>Plus 1</t>
  </si>
  <si>
    <t>Plus $816,984</t>
  </si>
  <si>
    <t>Less 1</t>
  </si>
  <si>
    <t>Plus $43,361</t>
  </si>
  <si>
    <t>Less $795,115</t>
  </si>
  <si>
    <t>Plus $976,649</t>
  </si>
  <si>
    <t>Added</t>
  </si>
  <si>
    <t>Code</t>
  </si>
  <si>
    <t>Name</t>
  </si>
  <si>
    <t>Type</t>
  </si>
  <si>
    <t>Proj enroll</t>
  </si>
  <si>
    <t>At-risk #</t>
  </si>
  <si>
    <t>CSM enrollment</t>
  </si>
  <si>
    <t>At-risk</t>
  </si>
  <si>
    <t>At-risk HS teacher</t>
  </si>
  <si>
    <t>Special Education</t>
  </si>
  <si>
    <t>ELL</t>
  </si>
  <si>
    <t>ASP/ECR</t>
  </si>
  <si>
    <t>Federal</t>
  </si>
  <si>
    <t>Gen ed special allocation</t>
  </si>
  <si>
    <t>CSM Enrollment</t>
  </si>
  <si>
    <t>Projected Enrollment</t>
  </si>
  <si>
    <t xml:space="preserve">Principal </t>
  </si>
  <si>
    <t xml:space="preserve">Instructional Coach </t>
  </si>
  <si>
    <t xml:space="preserve">Assistant Principal </t>
  </si>
  <si>
    <t xml:space="preserve">Business Manager </t>
  </si>
  <si>
    <t xml:space="preserve">Administrative Aide </t>
  </si>
  <si>
    <t xml:space="preserve">Clerk </t>
  </si>
  <si>
    <t xml:space="preserve">Registrar </t>
  </si>
  <si>
    <t xml:space="preserve">Attendance Counselor </t>
  </si>
  <si>
    <t xml:space="preserve">Custodial Foreman </t>
  </si>
  <si>
    <t xml:space="preserve">Custodian RW-5 </t>
  </si>
  <si>
    <t xml:space="preserve">Custodian RW-3 </t>
  </si>
  <si>
    <t xml:space="preserve">Librarian </t>
  </si>
  <si>
    <t xml:space="preserve">Add'l Related Arts </t>
  </si>
  <si>
    <t xml:space="preserve">PK3 Teacher </t>
  </si>
  <si>
    <t xml:space="preserve">PK3 Aide </t>
  </si>
  <si>
    <t xml:space="preserve">Mixed Age Teacher </t>
  </si>
  <si>
    <t xml:space="preserve">Mixed Aide </t>
  </si>
  <si>
    <t xml:space="preserve">PK4 Teacher </t>
  </si>
  <si>
    <t xml:space="preserve">PK4 Aide </t>
  </si>
  <si>
    <t xml:space="preserve">Kindergarten Teacher </t>
  </si>
  <si>
    <t xml:space="preserve">Kindergarten Aide </t>
  </si>
  <si>
    <t xml:space="preserve">School Psych </t>
  </si>
  <si>
    <t xml:space="preserve">Social Worker </t>
  </si>
  <si>
    <t xml:space="preserve">SPED Teacher </t>
  </si>
  <si>
    <t xml:space="preserve">SPED Aide </t>
  </si>
  <si>
    <t xml:space="preserve">SPED Behavior Tech </t>
  </si>
  <si>
    <t xml:space="preserve">Board Certified Behavior Analyst SPED </t>
  </si>
  <si>
    <t xml:space="preserve">ELL Teacher </t>
  </si>
  <si>
    <t xml:space="preserve">ELL Aide </t>
  </si>
  <si>
    <t xml:space="preserve">ELL Counselor </t>
  </si>
  <si>
    <t xml:space="preserve">Afterschool Program Teacher </t>
  </si>
  <si>
    <t xml:space="preserve">Afterschool Program Aide </t>
  </si>
  <si>
    <t xml:space="preserve">Afterschool Program Admin Asst </t>
  </si>
  <si>
    <t xml:space="preserve">Credit Recovery </t>
  </si>
  <si>
    <t>ASP</t>
  </si>
  <si>
    <t xml:space="preserve">Technology Instructional Coach </t>
  </si>
  <si>
    <t xml:space="preserve">Reading Specialist </t>
  </si>
  <si>
    <t xml:space="preserve">Ninth Grade Academy Assistant Principal </t>
  </si>
  <si>
    <t xml:space="preserve">Reading Recovery Tchr </t>
  </si>
  <si>
    <t xml:space="preserve">Twilight Coordinator  </t>
  </si>
  <si>
    <t xml:space="preserve">Twilight Admin Prem </t>
  </si>
  <si>
    <t>JROTC  Senior</t>
  </si>
  <si>
    <t xml:space="preserve">Exposures &amp; Excursions </t>
  </si>
  <si>
    <t xml:space="preserve">Clubs &amp; Activities </t>
  </si>
  <si>
    <t xml:space="preserve">Security </t>
  </si>
  <si>
    <t xml:space="preserve">Social Emotional </t>
  </si>
  <si>
    <t xml:space="preserve">One STAR School Support </t>
  </si>
  <si>
    <t>School Improvement Grant</t>
  </si>
  <si>
    <t>Final PPF</t>
  </si>
  <si>
    <t>Final Total Initial Allocations</t>
  </si>
  <si>
    <t>DCPS add-ons</t>
  </si>
  <si>
    <t>Council add-ons</t>
  </si>
  <si>
    <t>Final Allocations</t>
  </si>
  <si>
    <t>At-risk funding assuming $2195.86 per pupil</t>
  </si>
  <si>
    <t>Plus General Ed special allocations</t>
  </si>
  <si>
    <t>Check</t>
  </si>
  <si>
    <t>CF. FY 19 initial allocations</t>
  </si>
  <si>
    <t>Less Security</t>
  </si>
  <si>
    <t>Surface  difference</t>
  </si>
  <si>
    <t>Difference w/o security, new schools</t>
  </si>
  <si>
    <t>FY 20 budgeted enrollment</t>
  </si>
  <si>
    <t>FY 19 budgeted enrollment</t>
  </si>
  <si>
    <t>Difference</t>
  </si>
  <si>
    <t>FY 19 audited enrollment</t>
  </si>
  <si>
    <t>Projected vs audit</t>
  </si>
  <si>
    <t>FY 20 ODCA projected</t>
  </si>
  <si>
    <t>FY20 DCPS vs. ODCA</t>
  </si>
  <si>
    <t>Positions</t>
  </si>
  <si>
    <t>Other $$</t>
  </si>
  <si>
    <t>Grad scandal</t>
  </si>
  <si>
    <t>New North</t>
  </si>
  <si>
    <t>Ketcham ES</t>
  </si>
  <si>
    <t>New North MS</t>
  </si>
  <si>
    <t>Raymond EC</t>
  </si>
  <si>
    <t>Truesdell EC</t>
  </si>
  <si>
    <t>Macfarland</t>
  </si>
  <si>
    <t>LX</t>
  </si>
  <si>
    <t>Washington Metropolitan HS</t>
  </si>
  <si>
    <t>West EC</t>
  </si>
  <si>
    <t>Average cost</t>
  </si>
  <si>
    <t>No. positions</t>
  </si>
  <si>
    <t>Per pupil</t>
  </si>
  <si>
    <t>Woodson w/o fed 19</t>
  </si>
  <si>
    <t>HS enrollment</t>
  </si>
  <si>
    <t>Cardozo</t>
  </si>
  <si>
    <t>CHEC</t>
  </si>
  <si>
    <t>Woodson w/o fed &amp; sec 20</t>
  </si>
  <si>
    <t xml:space="preserve">Grades 6-8 teachers </t>
  </si>
  <si>
    <t>difference</t>
  </si>
  <si>
    <t># students at 22/1</t>
  </si>
  <si>
    <t># HS students</t>
  </si>
  <si>
    <t>95% of 19</t>
  </si>
  <si>
    <t># HS teachers at 24/1</t>
  </si>
  <si>
    <t>Add 20 fed</t>
  </si>
  <si>
    <t>total HS teachers</t>
  </si>
  <si>
    <t>5% stab due</t>
  </si>
  <si>
    <t>Enrollment-based</t>
  </si>
  <si>
    <t>% at-risk used for general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</si>
</sst>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&quot;$&quot;#,##0.0"/>
    <numFmt numFmtId="171" formatCode="&quot;$&quot;#,##0.00"/>
    <numFmt numFmtId="172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4"/>
      <name val="Calibri"/>
      <family val="2"/>
    </font>
    <font>
      <sz val="16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6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164" fontId="3" fillId="8" borderId="0" xfId="0" applyNumberFormat="1" applyFont="1" applyFill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164" fontId="3" fillId="11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165" fontId="0" fillId="0" borderId="0" xfId="0" applyNumberFormat="1"/>
    <xf numFmtId="49" fontId="0" fillId="0" borderId="0" xfId="0" applyNumberFormat="1"/>
    <xf numFmtId="9" fontId="0" fillId="0" borderId="0" xfId="3" applyFont="1"/>
    <xf numFmtId="165" fontId="0" fillId="0" borderId="0" xfId="2" applyNumberFormat="1" applyFont="1"/>
    <xf numFmtId="164" fontId="0" fillId="0" borderId="0" xfId="0" applyNumberFormat="1"/>
    <xf numFmtId="165" fontId="0" fillId="0" borderId="0" xfId="2" applyNumberFormat="1" applyFont="1" applyFill="1"/>
    <xf numFmtId="166" fontId="0" fillId="0" borderId="0" xfId="3" applyNumberFormat="1" applyFont="1"/>
    <xf numFmtId="166" fontId="0" fillId="0" borderId="0" xfId="3" applyNumberFormat="1" applyFont="1" applyAlignment="1">
      <alignment horizontal="right"/>
    </xf>
    <xf numFmtId="165" fontId="0" fillId="7" borderId="0" xfId="2" applyNumberFormat="1" applyFont="1" applyFill="1"/>
    <xf numFmtId="167" fontId="0" fillId="0" borderId="0" xfId="1" applyNumberFormat="1" applyFont="1"/>
    <xf numFmtId="40" fontId="0" fillId="0" borderId="0" xfId="0" applyNumberFormat="1"/>
    <xf numFmtId="168" fontId="0" fillId="0" borderId="0" xfId="1" applyNumberFormat="1" applyFont="1"/>
    <xf numFmtId="168" fontId="0" fillId="0" borderId="0" xfId="0" applyNumberFormat="1"/>
    <xf numFmtId="49" fontId="3" fillId="0" borderId="0" xfId="4" applyNumberFormat="1" applyFont="1" applyAlignment="1">
      <alignment horizontal="left" vertical="center" wrapText="1"/>
    </xf>
    <xf numFmtId="49" fontId="3" fillId="0" borderId="0" xfId="4" applyNumberFormat="1" applyFont="1" applyAlignment="1">
      <alignment horizontal="center" vertical="center" wrapText="1"/>
    </xf>
    <xf numFmtId="3" fontId="3" fillId="0" borderId="0" xfId="4" applyNumberFormat="1" applyFont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 wrapText="1"/>
    </xf>
    <xf numFmtId="3" fontId="3" fillId="2" borderId="0" xfId="4" applyNumberFormat="1" applyFont="1" applyFill="1" applyAlignment="1">
      <alignment horizontal="center" vertical="center" wrapText="1"/>
    </xf>
    <xf numFmtId="164" fontId="3" fillId="2" borderId="0" xfId="4" applyNumberFormat="1" applyFont="1" applyFill="1" applyAlignment="1">
      <alignment horizontal="center" vertical="center" wrapText="1"/>
    </xf>
    <xf numFmtId="164" fontId="3" fillId="14" borderId="0" xfId="4" applyNumberFormat="1" applyFont="1" applyFill="1" applyAlignment="1">
      <alignment horizontal="center" vertical="center" wrapText="1"/>
    </xf>
    <xf numFmtId="164" fontId="3" fillId="4" borderId="0" xfId="4" applyNumberFormat="1" applyFont="1" applyFill="1" applyAlignment="1">
      <alignment horizontal="center" vertical="center" wrapText="1"/>
    </xf>
    <xf numFmtId="0" fontId="3" fillId="15" borderId="0" xfId="4" applyFont="1" applyFill="1" applyAlignment="1">
      <alignment horizontal="center" vertical="center" wrapText="1"/>
    </xf>
    <xf numFmtId="164" fontId="3" fillId="6" borderId="0" xfId="4" applyNumberFormat="1" applyFont="1" applyFill="1" applyAlignment="1">
      <alignment horizontal="center" vertical="center" wrapText="1"/>
    </xf>
    <xf numFmtId="164" fontId="3" fillId="7" borderId="0" xfId="4" applyNumberFormat="1" applyFont="1" applyFill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164" fontId="3" fillId="8" borderId="0" xfId="4" applyNumberFormat="1" applyFont="1" applyFill="1" applyAlignment="1">
      <alignment horizontal="center" vertical="center" wrapText="1"/>
    </xf>
    <xf numFmtId="0" fontId="5" fillId="16" borderId="0" xfId="4" applyFill="1" applyAlignment="1">
      <alignment horizontal="center" wrapText="1"/>
    </xf>
    <xf numFmtId="169" fontId="3" fillId="7" borderId="0" xfId="4" applyNumberFormat="1" applyFont="1" applyFill="1" applyAlignment="1">
      <alignment horizontal="center" vertical="center" wrapText="1"/>
    </xf>
    <xf numFmtId="164" fontId="3" fillId="11" borderId="0" xfId="4" applyNumberFormat="1" applyFont="1" applyFill="1" applyAlignment="1">
      <alignment horizontal="center" vertical="center" wrapText="1"/>
    </xf>
    <xf numFmtId="44" fontId="0" fillId="0" borderId="0" xfId="5" applyFont="1" applyAlignment="1">
      <alignment horizontal="center" wrapText="1"/>
    </xf>
    <xf numFmtId="49" fontId="6" fillId="14" borderId="1" xfId="4" applyNumberFormat="1" applyFont="1" applyFill="1" applyBorder="1" applyAlignment="1">
      <alignment horizontal="center" vertical="center" wrapText="1"/>
    </xf>
    <xf numFmtId="3" fontId="6" fillId="14" borderId="1" xfId="4" applyNumberFormat="1" applyFont="1" applyFill="1" applyBorder="1" applyAlignment="1">
      <alignment horizontal="center" vertical="center" wrapText="1"/>
    </xf>
    <xf numFmtId="164" fontId="6" fillId="14" borderId="1" xfId="4" applyNumberFormat="1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7" fillId="14" borderId="1" xfId="4" applyFont="1" applyFill="1" applyBorder="1" applyAlignment="1">
      <alignment horizontal="center" vertical="center" wrapText="1"/>
    </xf>
    <xf numFmtId="170" fontId="6" fillId="14" borderId="1" xfId="4" applyNumberFormat="1" applyFont="1" applyFill="1" applyBorder="1" applyAlignment="1">
      <alignment horizontal="center" vertical="center" wrapText="1"/>
    </xf>
    <xf numFmtId="169" fontId="6" fillId="14" borderId="1" xfId="4" applyNumberFormat="1" applyFont="1" applyFill="1" applyBorder="1" applyAlignment="1">
      <alignment horizontal="center" vertical="center" wrapText="1"/>
    </xf>
    <xf numFmtId="10" fontId="6" fillId="14" borderId="1" xfId="4" applyNumberFormat="1" applyFont="1" applyFill="1" applyBorder="1" applyAlignment="1">
      <alignment horizontal="center" vertical="center" wrapText="1"/>
    </xf>
    <xf numFmtId="0" fontId="8" fillId="14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right" vertical="center" wrapText="1"/>
    </xf>
    <xf numFmtId="0" fontId="6" fillId="14" borderId="0" xfId="4" applyFont="1" applyFill="1" applyAlignment="1">
      <alignment horizontal="right" vertical="center" wrapText="1"/>
    </xf>
    <xf numFmtId="0" fontId="5" fillId="5" borderId="0" xfId="4" applyFill="1" applyAlignment="1">
      <alignment horizontal="center" vertical="center" wrapText="1"/>
    </xf>
    <xf numFmtId="44" fontId="0" fillId="12" borderId="0" xfId="5" applyFont="1" applyFill="1" applyAlignment="1">
      <alignment horizontal="center" vertical="center" wrapText="1"/>
    </xf>
    <xf numFmtId="40" fontId="0" fillId="0" borderId="0" xfId="5" applyNumberFormat="1" applyFont="1" applyAlignment="1">
      <alignment horizontal="center" vertical="center" wrapText="1"/>
    </xf>
    <xf numFmtId="44" fontId="0" fillId="7" borderId="0" xfId="5" applyFont="1" applyFill="1" applyAlignment="1">
      <alignment horizontal="center" vertical="center" wrapText="1"/>
    </xf>
    <xf numFmtId="0" fontId="5" fillId="3" borderId="0" xfId="4" applyFill="1" applyAlignment="1">
      <alignment horizontal="center" wrapText="1"/>
    </xf>
    <xf numFmtId="0" fontId="5" fillId="4" borderId="0" xfId="4" applyFill="1" applyAlignment="1">
      <alignment horizontal="center" wrapText="1"/>
    </xf>
    <xf numFmtId="0" fontId="5" fillId="6" borderId="0" xfId="4" applyFill="1" applyAlignment="1">
      <alignment horizontal="center" wrapText="1"/>
    </xf>
    <xf numFmtId="0" fontId="5" fillId="7" borderId="0" xfId="4" applyFill="1" applyAlignment="1">
      <alignment horizontal="center" wrapText="1"/>
    </xf>
    <xf numFmtId="0" fontId="5" fillId="10" borderId="0" xfId="4" applyFill="1" applyAlignment="1">
      <alignment horizontal="center" wrapText="1"/>
    </xf>
    <xf numFmtId="0" fontId="5" fillId="11" borderId="0" xfId="4" applyFill="1" applyAlignment="1">
      <alignment horizontal="center" wrapText="1"/>
    </xf>
    <xf numFmtId="0" fontId="5" fillId="8" borderId="0" xfId="4" applyFill="1" applyAlignment="1">
      <alignment horizontal="center" wrapText="1"/>
    </xf>
    <xf numFmtId="44" fontId="0" fillId="13" borderId="0" xfId="5" applyFont="1" applyFill="1" applyAlignment="1">
      <alignment horizontal="center" vertical="center" wrapText="1"/>
    </xf>
    <xf numFmtId="44" fontId="0" fillId="0" borderId="0" xfId="5" applyFont="1" applyAlignment="1">
      <alignment horizontal="center" vertical="center" wrapText="1"/>
    </xf>
    <xf numFmtId="0" fontId="3" fillId="0" borderId="0" xfId="4" applyFont="1" applyAlignment="1">
      <alignment horizontal="right" vertical="center" wrapText="1"/>
    </xf>
    <xf numFmtId="38" fontId="3" fillId="0" borderId="0" xfId="4" applyNumberFormat="1" applyFont="1" applyAlignment="1">
      <alignment horizontal="center" vertical="center" wrapText="1"/>
    </xf>
    <xf numFmtId="38" fontId="3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horizontal="center" vertical="center"/>
    </xf>
    <xf numFmtId="49" fontId="9" fillId="0" borderId="1" xfId="4" applyNumberFormat="1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right" vertical="center" wrapText="1"/>
    </xf>
    <xf numFmtId="164" fontId="9" fillId="0" borderId="1" xfId="4" applyNumberFormat="1" applyFont="1" applyBorder="1" applyAlignment="1">
      <alignment horizontal="right" vertical="center" wrapText="1"/>
    </xf>
    <xf numFmtId="6" fontId="9" fillId="0" borderId="1" xfId="4" applyNumberFormat="1" applyFont="1" applyBorder="1" applyAlignment="1">
      <alignment horizontal="right" vertical="center" wrapText="1"/>
    </xf>
    <xf numFmtId="164" fontId="3" fillId="0" borderId="0" xfId="4" applyNumberFormat="1" applyFont="1" applyAlignment="1">
      <alignment horizontal="right" vertical="center" wrapText="1"/>
    </xf>
    <xf numFmtId="171" fontId="9" fillId="0" borderId="1" xfId="4" applyNumberFormat="1" applyFont="1" applyBorder="1" applyAlignment="1">
      <alignment horizontal="right" vertical="center" wrapText="1"/>
    </xf>
    <xf numFmtId="164" fontId="9" fillId="0" borderId="1" xfId="6" applyNumberFormat="1" applyFont="1" applyBorder="1" applyAlignment="1">
      <alignment horizontal="right" vertical="center" wrapText="1"/>
    </xf>
    <xf numFmtId="164" fontId="9" fillId="0" borderId="0" xfId="4" applyNumberFormat="1" applyFont="1" applyAlignment="1">
      <alignment horizontal="right" vertical="center" wrapText="1"/>
    </xf>
    <xf numFmtId="166" fontId="3" fillId="0" borderId="0" xfId="6" applyNumberFormat="1" applyFont="1" applyAlignment="1">
      <alignment horizontal="right" vertical="center" wrapText="1"/>
    </xf>
    <xf numFmtId="9" fontId="3" fillId="0" borderId="0" xfId="6" applyFont="1" applyAlignment="1">
      <alignment horizontal="right" vertical="center" wrapText="1"/>
    </xf>
    <xf numFmtId="0" fontId="3" fillId="0" borderId="0" xfId="4" applyFont="1" applyAlignment="1">
      <alignment horizontal="left" vertical="center" wrapText="1"/>
    </xf>
    <xf numFmtId="3" fontId="3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horizontal="left" vertical="center"/>
    </xf>
    <xf numFmtId="0" fontId="3" fillId="7" borderId="0" xfId="4" applyFont="1" applyFill="1" applyAlignment="1">
      <alignment horizontal="right" vertical="center" wrapText="1"/>
    </xf>
    <xf numFmtId="3" fontId="10" fillId="0" borderId="1" xfId="4" applyNumberFormat="1" applyFont="1" applyBorder="1"/>
    <xf numFmtId="169" fontId="3" fillId="0" borderId="0" xfId="4" applyNumberFormat="1" applyFont="1" applyAlignment="1">
      <alignment horizontal="left" vertical="center" wrapText="1"/>
    </xf>
    <xf numFmtId="164" fontId="9" fillId="7" borderId="1" xfId="4" applyNumberFormat="1" applyFont="1" applyFill="1" applyBorder="1" applyAlignment="1">
      <alignment horizontal="right" vertical="center" wrapText="1"/>
    </xf>
    <xf numFmtId="0" fontId="3" fillId="17" borderId="0" xfId="4" applyFont="1" applyFill="1" applyAlignment="1">
      <alignment horizontal="right" vertical="center" wrapText="1"/>
    </xf>
    <xf numFmtId="164" fontId="10" fillId="0" borderId="1" xfId="4" applyNumberFormat="1" applyFont="1" applyBorder="1" applyAlignment="1">
      <alignment horizontal="right" vertical="center" wrapText="1"/>
    </xf>
    <xf numFmtId="169" fontId="9" fillId="0" borderId="1" xfId="4" applyNumberFormat="1" applyFont="1" applyBorder="1" applyAlignment="1">
      <alignment horizontal="right" vertical="center" wrapText="1"/>
    </xf>
    <xf numFmtId="169" fontId="9" fillId="0" borderId="1" xfId="4" applyNumberFormat="1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164" fontId="11" fillId="0" borderId="1" xfId="4" applyNumberFormat="1" applyFont="1" applyBorder="1" applyAlignment="1">
      <alignment horizontal="right" vertical="center" wrapText="1"/>
    </xf>
    <xf numFmtId="44" fontId="3" fillId="0" borderId="0" xfId="5" applyFont="1" applyAlignment="1">
      <alignment horizontal="left" vertical="center" wrapText="1"/>
    </xf>
    <xf numFmtId="44" fontId="3" fillId="0" borderId="0" xfId="4" applyNumberFormat="1" applyFont="1" applyAlignment="1">
      <alignment horizontal="left" vertical="center" wrapText="1"/>
    </xf>
    <xf numFmtId="164" fontId="12" fillId="0" borderId="1" xfId="4" applyNumberFormat="1" applyFont="1" applyBorder="1" applyAlignment="1">
      <alignment horizontal="right" vertical="center" wrapText="1"/>
    </xf>
    <xf numFmtId="0" fontId="9" fillId="0" borderId="1" xfId="4" applyFont="1" applyBorder="1" applyAlignment="1">
      <alignment horizontal="right" vertical="center" wrapText="1"/>
    </xf>
    <xf numFmtId="49" fontId="3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horizontal="right" vertical="center"/>
    </xf>
    <xf numFmtId="3" fontId="3" fillId="0" borderId="0" xfId="4" applyNumberFormat="1" applyFont="1" applyAlignment="1">
      <alignment horizontal="left" vertical="center" wrapText="1"/>
    </xf>
    <xf numFmtId="169" fontId="3" fillId="0" borderId="0" xfId="4" applyNumberFormat="1" applyFont="1" applyAlignment="1">
      <alignment horizontal="right" vertical="center" wrapText="1"/>
    </xf>
    <xf numFmtId="164" fontId="3" fillId="0" borderId="0" xfId="4" applyNumberFormat="1" applyFont="1" applyAlignment="1">
      <alignment horizontal="left" vertical="center" wrapText="1"/>
    </xf>
    <xf numFmtId="171" fontId="3" fillId="0" borderId="0" xfId="4" applyNumberFormat="1" applyFont="1" applyAlignment="1">
      <alignment horizontal="right" vertical="center" wrapText="1"/>
    </xf>
    <xf numFmtId="170" fontId="3" fillId="0" borderId="0" xfId="4" applyNumberFormat="1" applyFont="1" applyAlignment="1">
      <alignment horizontal="right" vertical="center" wrapText="1"/>
    </xf>
    <xf numFmtId="164" fontId="3" fillId="0" borderId="0" xfId="4" applyNumberFormat="1" applyFont="1" applyAlignment="1">
      <alignment horizontal="right" vertical="center"/>
    </xf>
    <xf numFmtId="43" fontId="3" fillId="0" borderId="0" xfId="7" applyFont="1" applyAlignment="1">
      <alignment horizontal="right" vertical="center" wrapText="1"/>
    </xf>
    <xf numFmtId="43" fontId="3" fillId="0" borderId="0" xfId="4" applyNumberFormat="1" applyFont="1" applyAlignment="1">
      <alignment horizontal="right" vertical="center" wrapText="1"/>
    </xf>
    <xf numFmtId="10" fontId="3" fillId="0" borderId="0" xfId="6" applyNumberFormat="1" applyFont="1" applyAlignment="1">
      <alignment horizontal="right" vertical="center" wrapText="1"/>
    </xf>
    <xf numFmtId="172" fontId="9" fillId="0" borderId="1" xfId="4" applyNumberFormat="1" applyFont="1" applyBorder="1" applyAlignment="1">
      <alignment horizontal="right" vertical="center" wrapText="1"/>
    </xf>
    <xf numFmtId="172" fontId="3" fillId="0" borderId="0" xfId="4" applyNumberFormat="1" applyFont="1" applyAlignment="1">
      <alignment horizontal="right" vertic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164" fontId="3" fillId="8" borderId="0" xfId="0" applyNumberFormat="1" applyFont="1" applyFill="1" applyAlignment="1">
      <alignment horizontal="center" wrapText="1"/>
    </xf>
    <xf numFmtId="164" fontId="3" fillId="11" borderId="0" xfId="0" applyNumberFormat="1" applyFont="1" applyFill="1" applyAlignment="1">
      <alignment horizontal="center" wrapText="1"/>
    </xf>
    <xf numFmtId="44" fontId="0" fillId="12" borderId="0" xfId="2" applyFont="1" applyFill="1" applyAlignment="1">
      <alignment horizontal="center" wrapText="1"/>
    </xf>
    <xf numFmtId="40" fontId="0" fillId="0" borderId="0" xfId="2" applyNumberFormat="1" applyFont="1" applyAlignment="1">
      <alignment horizontal="center" wrapText="1"/>
    </xf>
    <xf numFmtId="44" fontId="0" fillId="7" borderId="0" xfId="2" applyFont="1" applyFill="1" applyAlignment="1">
      <alignment horizontal="center" wrapText="1"/>
    </xf>
    <xf numFmtId="44" fontId="0" fillId="13" borderId="0" xfId="2" applyFont="1" applyFill="1" applyAlignment="1">
      <alignment horizontal="center" wrapText="1"/>
    </xf>
    <xf numFmtId="44" fontId="0" fillId="0" borderId="0" xfId="2" applyFont="1" applyAlignment="1">
      <alignment horizontal="center" wrapText="1"/>
    </xf>
  </cellXfs>
  <cellStyles count="8">
    <cellStyle name="Comma" xfId="1" builtinId="3"/>
    <cellStyle name="Comma 2" xfId="7" xr:uid="{74729001-53F5-4C11-8C29-3B1B06F0FC3C}"/>
    <cellStyle name="Currency" xfId="2" builtinId="4"/>
    <cellStyle name="Currency 2" xfId="5" xr:uid="{0A8180DD-4E89-44F1-B04E-C4A4103FF6D1}"/>
    <cellStyle name="Normal" xfId="0" builtinId="0"/>
    <cellStyle name="Normal 2" xfId="4" xr:uid="{03FB6AD5-3C64-4B43-8D62-92F1DB4B84AA}"/>
    <cellStyle name="Percent" xfId="3" builtinId="5"/>
    <cellStyle name="Percent 2" xfId="6" xr:uid="{0FE69B83-0874-4558-B7CF-FEFA4B8B62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ja.michel-herf/AppData/Local/Temp/Temp1_PWP%20Funding%20Allocation.zip/PWP%20Spend%20Plan%20Template%20for%20SY13-14%20Amidon%20Bowen%2003%2010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ja.michel-herf/Dropbox/Proving%20What's%20Possible%20Grant/Financial%20Allocation/Financial%20Allocation/Financial%20Allocation%2010_28_12_with%20FTE_NMH_14.5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habib.samuels/Local%20Settings/Temporary%20Internet%20Files/Content.Outlook/WKTB2IQ1/Final%20Modelv6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H/Documents%20and%20Settings/david.franklin/Local%20Settings/Temporary%20Internet%20Files/OLKC6/Demo%201%20WSF%202008-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visj06/Local%20Settings/Temporary%20Internet%20Files/Content.Outlook/3C7WX0K4/Financial%20Allocation%2010_16_12_with%20F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cuments/Budget-local%20schools/LSB%20FY%202021/FY%2021%20Init%20Allocations%20pdf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cuments/Budget-local%20schools/LSB%20FY%202020/Copy%20of%20ML-FY20%20Initial%20Budget%20Allocation%20Data_Shared_2.25.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cuments/Budget-local%20schools/LSB%20FY%202021/ML-DCPS_FY21%20Initial%20Budget%20Allocation%20Data_3.5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1314 PWP"/>
      <sheetName val="Total Budgeting by School"/>
      <sheetName val="Sheet2"/>
      <sheetName val="Sheet1"/>
      <sheetName val="School Allocation Notes"/>
      <sheetName val="Schools"/>
      <sheetName val="FY17 Enrollment"/>
      <sheetName val="FY17 Avg Position Costs"/>
      <sheetName val="CSM Control Sheet"/>
      <sheetName val="FY17 Allocation Model"/>
      <sheetName val="# of Classrooms"/>
      <sheetName val="Column Map"/>
      <sheetName val="ECE Classrooms"/>
      <sheetName val="SPED"/>
      <sheetName val="ELL"/>
      <sheetName val="FY17 NPS Set-asides"/>
      <sheetName val="MS Tchr Scaling"/>
      <sheetName val="Custodian (TBD)"/>
      <sheetName val="Title"/>
      <sheetName val="ASP"/>
      <sheetName val="Extended Day &amp; Year"/>
      <sheetName val="ECR"/>
      <sheetName val="TLI (TBD)"/>
      <sheetName val="At-Risk Payment (TBD)"/>
      <sheetName val="NPS Set-asides Key"/>
      <sheetName val="PFY Submitted Budget"/>
    </sheetNames>
    <sheetDataSet>
      <sheetData sheetId="0"/>
      <sheetData sheetId="1"/>
      <sheetData sheetId="2">
        <row r="2">
          <cell r="A2" t="str">
            <v>Admin Premium</v>
          </cell>
        </row>
        <row r="3">
          <cell r="A3" t="str">
            <v>Contracts</v>
          </cell>
        </row>
        <row r="4">
          <cell r="A4" t="str">
            <v>Hardware</v>
          </cell>
        </row>
        <row r="5">
          <cell r="A5" t="str">
            <v>Professional Development</v>
          </cell>
        </row>
        <row r="6">
          <cell r="A6" t="str">
            <v>Security</v>
          </cell>
        </row>
        <row r="7">
          <cell r="A7" t="str">
            <v>Software</v>
          </cell>
        </row>
        <row r="8">
          <cell r="A8" t="str">
            <v>Supplies</v>
          </cell>
        </row>
        <row r="9">
          <cell r="A9" t="str">
            <v>Travel</v>
          </cell>
        </row>
      </sheetData>
      <sheetData sheetId="3"/>
      <sheetData sheetId="4"/>
      <sheetData sheetId="5">
        <row r="2">
          <cell r="A2" t="str">
            <v>--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3 Allocations"/>
      <sheetName val="CFO Analysis by School"/>
      <sheetName val="Budgeting Summary"/>
      <sheetName val="Total Budgeting by School"/>
      <sheetName val="Vacancies Summary by School"/>
      <sheetName val="FY12 Planned v Funded Budget"/>
      <sheetName val="School Organizational Data"/>
      <sheetName val="Z-Pick Lists"/>
      <sheetName val="School Calendar"/>
      <sheetName val="Schedule A 11 30 12"/>
      <sheetName val="Indices and PCA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Org Code</v>
          </cell>
        </row>
      </sheetData>
      <sheetData sheetId="7">
        <row r="2">
          <cell r="D2" t="str">
            <v>Aiton</v>
          </cell>
          <cell r="G2" t="str">
            <v>T1</v>
          </cell>
        </row>
        <row r="3">
          <cell r="G3" t="str">
            <v>T1 - CO FY11</v>
          </cell>
        </row>
        <row r="4">
          <cell r="G4" t="str">
            <v>T1 - CO FY12</v>
          </cell>
        </row>
        <row r="5">
          <cell r="G5" t="str">
            <v>T1 - PEI</v>
          </cell>
        </row>
        <row r="6">
          <cell r="G6" t="str">
            <v>SIG</v>
          </cell>
        </row>
        <row r="7">
          <cell r="G7" t="str">
            <v>LD</v>
          </cell>
        </row>
        <row r="8">
          <cell r="G8" t="str">
            <v>LD - SA</v>
          </cell>
        </row>
        <row r="9">
          <cell r="G9" t="str">
            <v>LD - Tech</v>
          </cell>
        </row>
        <row r="10">
          <cell r="G10" t="str">
            <v>LD - Edu</v>
          </cell>
        </row>
        <row r="11">
          <cell r="G11" t="str">
            <v>LD-SE</v>
          </cell>
        </row>
        <row r="12">
          <cell r="G12" t="str">
            <v>Grant</v>
          </cell>
        </row>
        <row r="13">
          <cell r="G13" t="str">
            <v>Race</v>
          </cell>
        </row>
        <row r="14">
          <cell r="G14" t="str">
            <v>NOT FUNDED</v>
          </cell>
        </row>
      </sheetData>
      <sheetData sheetId="8">
        <row r="1">
          <cell r="J1">
            <v>3</v>
          </cell>
        </row>
      </sheetData>
      <sheetData sheetId="9">
        <row r="2">
          <cell r="C2">
            <v>75625</v>
          </cell>
        </row>
      </sheetData>
      <sheetData sheetId="10">
        <row r="2">
          <cell r="A2" t="str">
            <v>Aiton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erage Salaries FY12"/>
      <sheetName val="Assumptions"/>
      <sheetName val="CSM"/>
      <sheetName val="Staffing model"/>
      <sheetName val="Schools"/>
      <sheetName val="FINAL ELL"/>
      <sheetName val="FINAL SPED"/>
      <sheetName val="Final Enrollment 2-8-11"/>
      <sheetName val="Final Enrollment"/>
      <sheetName val="Pivot Analysis"/>
      <sheetName val="Enrollment "/>
      <sheetName val="grants"/>
      <sheetName val="Schools-SPED"/>
      <sheetName val="ELL"/>
      <sheetName val="SPED Staffing Model FY12"/>
      <sheetName val="SPED Staffing Model"/>
      <sheetName val="TITLES"/>
      <sheetName val="schools-sped1"/>
      <sheetName val="schools off CSM"/>
      <sheetName val="Sheet1"/>
      <sheetName val="SHS ratio"/>
      <sheetName val="Nurs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ummary"/>
      <sheetName val="Variable Inputs"/>
      <sheetName val="Enrollment"/>
      <sheetName val="10.8M"/>
      <sheetName val="Small School &amp; Spec"/>
      <sheetName val="Summary Allocations"/>
      <sheetName val="Reserve Adjustments"/>
      <sheetName val="Schools"/>
      <sheetName val="Allocation Sheet"/>
      <sheetName val="Space Constrained subsidy"/>
      <sheetName val="Enrollment Accuracy"/>
      <sheetName val="Projection Sheet"/>
      <sheetName val="ESL Model"/>
      <sheetName val="SPEd Model"/>
      <sheetName val="grade we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3 Allocations"/>
      <sheetName val="CFO Analysis by School"/>
      <sheetName val="Budgeting Summary"/>
      <sheetName val="Total Budgeting by School"/>
      <sheetName val="Vacancies Summary by School"/>
      <sheetName val="FY12 Planned v Funded Budget"/>
      <sheetName val="School Organizational Data"/>
      <sheetName val="Z-Pick Lists"/>
      <sheetName val="School Calendar"/>
      <sheetName val="Indices and P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Aiton</v>
          </cell>
        </row>
        <row r="3">
          <cell r="D3" t="str">
            <v>Amidon-Bowen</v>
          </cell>
        </row>
        <row r="4">
          <cell r="D4" t="str">
            <v>Anacostia</v>
          </cell>
        </row>
        <row r="5">
          <cell r="D5" t="str">
            <v>Ballou</v>
          </cell>
        </row>
        <row r="6">
          <cell r="D6" t="str">
            <v>Ballou STAY</v>
          </cell>
        </row>
        <row r="7">
          <cell r="D7" t="str">
            <v>Bancroft</v>
          </cell>
        </row>
        <row r="8">
          <cell r="D8" t="str">
            <v>Barnard</v>
          </cell>
        </row>
        <row r="9">
          <cell r="D9" t="str">
            <v>Beers</v>
          </cell>
        </row>
        <row r="10">
          <cell r="D10" t="str">
            <v>Benjamin Banneker</v>
          </cell>
        </row>
        <row r="11">
          <cell r="D11" t="str">
            <v>Brent</v>
          </cell>
        </row>
        <row r="12">
          <cell r="D12" t="str">
            <v>Brightwood</v>
          </cell>
        </row>
        <row r="13">
          <cell r="D13" t="str">
            <v>Brookland @ Bunker Hill</v>
          </cell>
        </row>
        <row r="14">
          <cell r="D14" t="str">
            <v>Browne</v>
          </cell>
        </row>
        <row r="15">
          <cell r="D15" t="str">
            <v>Bruce-Monroe @ Park View</v>
          </cell>
        </row>
        <row r="16">
          <cell r="D16" t="str">
            <v>Burroughs</v>
          </cell>
        </row>
        <row r="17">
          <cell r="D17" t="str">
            <v>Burrville</v>
          </cell>
        </row>
        <row r="18">
          <cell r="D18" t="str">
            <v>C.W. Harris</v>
          </cell>
        </row>
        <row r="19">
          <cell r="D19" t="str">
            <v>Capitol Hill Montesorri</v>
          </cell>
        </row>
        <row r="20">
          <cell r="D20" t="str">
            <v>Cardozo</v>
          </cell>
        </row>
        <row r="21">
          <cell r="D21" t="str">
            <v>CHOICE Academy</v>
          </cell>
        </row>
        <row r="22">
          <cell r="D22" t="str">
            <v>Cleveland</v>
          </cell>
        </row>
        <row r="23">
          <cell r="D23" t="str">
            <v>Columbia Heights (CHEC)</v>
          </cell>
        </row>
        <row r="24">
          <cell r="D24" t="str">
            <v>Coolidge</v>
          </cell>
        </row>
        <row r="25">
          <cell r="D25" t="str">
            <v>Davis</v>
          </cell>
        </row>
        <row r="26">
          <cell r="D26" t="str">
            <v>Deal</v>
          </cell>
        </row>
        <row r="27">
          <cell r="D27" t="str">
            <v>Drew</v>
          </cell>
        </row>
        <row r="28">
          <cell r="D28" t="str">
            <v>Dunbar</v>
          </cell>
        </row>
        <row r="29">
          <cell r="D29" t="str">
            <v>Eastern</v>
          </cell>
        </row>
        <row r="30">
          <cell r="D30" t="str">
            <v>Eaton</v>
          </cell>
        </row>
        <row r="31">
          <cell r="D31" t="str">
            <v>Eliot-Hine</v>
          </cell>
        </row>
        <row r="32">
          <cell r="D32" t="str">
            <v>Ellington School of the Arts</v>
          </cell>
        </row>
        <row r="33">
          <cell r="D33" t="str">
            <v>Ferebee-Hope</v>
          </cell>
        </row>
        <row r="34">
          <cell r="D34" t="str">
            <v>Francis-Stevens</v>
          </cell>
        </row>
        <row r="35">
          <cell r="D35" t="str">
            <v>Garfield</v>
          </cell>
        </row>
        <row r="36">
          <cell r="D36" t="str">
            <v>Garrison</v>
          </cell>
        </row>
        <row r="37">
          <cell r="D37" t="str">
            <v>H.D. Cooke</v>
          </cell>
        </row>
        <row r="38">
          <cell r="D38" t="str">
            <v>Hardy</v>
          </cell>
        </row>
        <row r="39">
          <cell r="D39" t="str">
            <v>Hart</v>
          </cell>
        </row>
        <row r="40">
          <cell r="D40" t="str">
            <v>Hearst</v>
          </cell>
        </row>
        <row r="41">
          <cell r="D41" t="str">
            <v>Hendley</v>
          </cell>
        </row>
        <row r="42">
          <cell r="D42" t="str">
            <v>Houston</v>
          </cell>
        </row>
        <row r="43">
          <cell r="D43" t="str">
            <v>Hyde-Addison</v>
          </cell>
        </row>
        <row r="44">
          <cell r="D44" t="str">
            <v>Incarcerated Youth Program</v>
          </cell>
        </row>
        <row r="45">
          <cell r="D45" t="str">
            <v>Janney</v>
          </cell>
        </row>
        <row r="46">
          <cell r="D46" t="str">
            <v>Jefferson Academy</v>
          </cell>
        </row>
        <row r="47">
          <cell r="D47" t="str">
            <v>Jefferson</v>
          </cell>
        </row>
        <row r="48">
          <cell r="D48" t="str">
            <v>Johnson, John Hayden</v>
          </cell>
        </row>
        <row r="49">
          <cell r="D49" t="str">
            <v>Kelly Miller</v>
          </cell>
        </row>
        <row r="50">
          <cell r="D50" t="str">
            <v>Kenilworth</v>
          </cell>
        </row>
        <row r="51">
          <cell r="D51" t="str">
            <v>Ketcham</v>
          </cell>
        </row>
        <row r="52">
          <cell r="D52" t="str">
            <v>Key</v>
          </cell>
        </row>
        <row r="53">
          <cell r="D53" t="str">
            <v>Kimball</v>
          </cell>
        </row>
        <row r="54">
          <cell r="D54" t="str">
            <v>King, M.L.</v>
          </cell>
        </row>
        <row r="55">
          <cell r="D55" t="str">
            <v>Kramer</v>
          </cell>
        </row>
        <row r="56">
          <cell r="D56" t="str">
            <v>Lafayette</v>
          </cell>
        </row>
        <row r="57">
          <cell r="D57" t="str">
            <v>Langdon</v>
          </cell>
        </row>
        <row r="58">
          <cell r="D58" t="str">
            <v>Langley</v>
          </cell>
        </row>
        <row r="59">
          <cell r="D59" t="str">
            <v>LaSalle-Backus</v>
          </cell>
        </row>
        <row r="60">
          <cell r="D60" t="str">
            <v>Leckie</v>
          </cell>
        </row>
        <row r="61">
          <cell r="D61" t="str">
            <v>Ludlow-Taylor</v>
          </cell>
        </row>
        <row r="62">
          <cell r="D62" t="str">
            <v>Luke Moore</v>
          </cell>
        </row>
        <row r="63">
          <cell r="D63" t="str">
            <v>M.C. Terrell/ McGogney</v>
          </cell>
        </row>
        <row r="64">
          <cell r="D64" t="str">
            <v>MacFarland</v>
          </cell>
        </row>
        <row r="65">
          <cell r="D65" t="str">
            <v>Malcolm X</v>
          </cell>
        </row>
        <row r="66">
          <cell r="D66" t="str">
            <v>Mamie D. Lee School</v>
          </cell>
        </row>
        <row r="67">
          <cell r="D67" t="str">
            <v>Mann</v>
          </cell>
        </row>
        <row r="68">
          <cell r="D68" t="str">
            <v>Marie Reed</v>
          </cell>
        </row>
        <row r="69">
          <cell r="D69" t="str">
            <v>Marshall</v>
          </cell>
        </row>
        <row r="70">
          <cell r="D70" t="str">
            <v>Maury</v>
          </cell>
        </row>
        <row r="71">
          <cell r="D71" t="str">
            <v>McKinley Technology</v>
          </cell>
        </row>
        <row r="72">
          <cell r="D72" t="str">
            <v>Miner</v>
          </cell>
        </row>
        <row r="73">
          <cell r="D73" t="str">
            <v>Moten @ Wilkinson</v>
          </cell>
        </row>
        <row r="74">
          <cell r="D74" t="str">
            <v>Murch</v>
          </cell>
        </row>
        <row r="75">
          <cell r="D75" t="str">
            <v>Nalle</v>
          </cell>
        </row>
        <row r="76">
          <cell r="D76" t="str">
            <v>Noyes</v>
          </cell>
        </row>
        <row r="77">
          <cell r="D77" t="str">
            <v>Orr</v>
          </cell>
        </row>
        <row r="78">
          <cell r="D78" t="str">
            <v>Oyster-Adams Bilingual School</v>
          </cell>
        </row>
        <row r="79">
          <cell r="D79" t="str">
            <v>Patterson</v>
          </cell>
        </row>
        <row r="80">
          <cell r="D80" t="str">
            <v>Payne</v>
          </cell>
        </row>
        <row r="81">
          <cell r="D81" t="str">
            <v>Peabody</v>
          </cell>
        </row>
        <row r="82">
          <cell r="D82" t="str">
            <v>Phelps ACE</v>
          </cell>
        </row>
        <row r="83">
          <cell r="D83" t="str">
            <v>Plummer</v>
          </cell>
        </row>
        <row r="84">
          <cell r="D84" t="str">
            <v>Powell</v>
          </cell>
        </row>
        <row r="85">
          <cell r="D85" t="str">
            <v>Prospect LC</v>
          </cell>
        </row>
        <row r="86">
          <cell r="D86" t="str">
            <v>Randle Highlands</v>
          </cell>
        </row>
        <row r="87">
          <cell r="D87" t="str">
            <v>Raymond</v>
          </cell>
        </row>
        <row r="88">
          <cell r="D88" t="str">
            <v>River Terrace</v>
          </cell>
        </row>
        <row r="89">
          <cell r="D89" t="str">
            <v>Ron Brown</v>
          </cell>
        </row>
        <row r="90">
          <cell r="D90" t="str">
            <v>Roosevelt</v>
          </cell>
        </row>
        <row r="91">
          <cell r="D91" t="str">
            <v>Roosevelt STAY</v>
          </cell>
        </row>
        <row r="92">
          <cell r="D92" t="str">
            <v>Ross</v>
          </cell>
        </row>
        <row r="93">
          <cell r="D93" t="str">
            <v>Savoy</v>
          </cell>
        </row>
        <row r="94">
          <cell r="D94" t="str">
            <v>School Without Walls</v>
          </cell>
        </row>
        <row r="95">
          <cell r="D95" t="str">
            <v>School-Within-School @ Peabody</v>
          </cell>
        </row>
        <row r="96">
          <cell r="D96" t="str">
            <v>Seaton</v>
          </cell>
        </row>
        <row r="97">
          <cell r="D97" t="str">
            <v>Sharpe Health School</v>
          </cell>
        </row>
        <row r="98">
          <cell r="D98" t="str">
            <v>Shaw @ Garnet-Patterson</v>
          </cell>
        </row>
        <row r="99">
          <cell r="D99" t="str">
            <v>Shepherd</v>
          </cell>
        </row>
        <row r="100">
          <cell r="D100" t="str">
            <v>Simon</v>
          </cell>
        </row>
        <row r="101">
          <cell r="D101" t="str">
            <v>Smothers</v>
          </cell>
        </row>
        <row r="102">
          <cell r="D102" t="str">
            <v>Sousa</v>
          </cell>
        </row>
        <row r="103">
          <cell r="D103" t="str">
            <v>Spingarn</v>
          </cell>
        </row>
        <row r="104">
          <cell r="D104" t="str">
            <v>Spingarn STAY</v>
          </cell>
        </row>
        <row r="105">
          <cell r="D105" t="str">
            <v>Stanton</v>
          </cell>
        </row>
        <row r="106">
          <cell r="D106" t="str">
            <v>Stoddert</v>
          </cell>
        </row>
        <row r="107">
          <cell r="D107" t="str">
            <v>Stuart-Hobson</v>
          </cell>
        </row>
        <row r="108">
          <cell r="D108" t="str">
            <v>Takoma</v>
          </cell>
        </row>
        <row r="109">
          <cell r="D109" t="str">
            <v>Thomas</v>
          </cell>
        </row>
        <row r="110">
          <cell r="D110" t="str">
            <v>Thomson</v>
          </cell>
        </row>
        <row r="111">
          <cell r="D111" t="str">
            <v>Transition Academy @ Ballou</v>
          </cell>
        </row>
        <row r="112">
          <cell r="D112" t="str">
            <v>Truesdell</v>
          </cell>
        </row>
        <row r="113">
          <cell r="D113" t="str">
            <v>Tubman</v>
          </cell>
        </row>
        <row r="114">
          <cell r="D114" t="str">
            <v>Turner @ Green</v>
          </cell>
        </row>
        <row r="115">
          <cell r="D115" t="str">
            <v>Tyler</v>
          </cell>
        </row>
        <row r="116">
          <cell r="D116" t="str">
            <v>Walker-Jones</v>
          </cell>
        </row>
        <row r="117">
          <cell r="D117" t="str">
            <v>Washington Metropolitan</v>
          </cell>
        </row>
        <row r="118">
          <cell r="D118" t="str">
            <v>Watkins</v>
          </cell>
        </row>
        <row r="119">
          <cell r="D119" t="str">
            <v>West</v>
          </cell>
        </row>
        <row r="120">
          <cell r="D120" t="str">
            <v>Wheatley</v>
          </cell>
        </row>
        <row r="121">
          <cell r="D121" t="str">
            <v>Whittier</v>
          </cell>
        </row>
        <row r="122">
          <cell r="D122" t="str">
            <v>Wilson</v>
          </cell>
        </row>
        <row r="123">
          <cell r="D123" t="str">
            <v>Wilson JO</v>
          </cell>
        </row>
        <row r="124">
          <cell r="D124" t="str">
            <v>Winston</v>
          </cell>
        </row>
        <row r="125">
          <cell r="D125" t="str">
            <v>Woodson</v>
          </cell>
        </row>
        <row r="126">
          <cell r="D126" t="str">
            <v>Youth Services Center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$"/>
      <sheetName val="FTE"/>
      <sheetName val="FY21 webtool"/>
      <sheetName val="Sheet 2"/>
    </sheetNames>
    <sheetDataSet>
      <sheetData sheetId="0">
        <row r="3">
          <cell r="A3">
            <v>202</v>
          </cell>
        </row>
      </sheetData>
      <sheetData sheetId="1">
        <row r="120">
          <cell r="CQ120">
            <v>6135799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 Initial Budget Allocat (2)"/>
      <sheetName val="FY20 Initial Budget Allocations"/>
      <sheetName val="FY20 Initial Budget Alloca FTE"/>
      <sheetName val="FY20 at FY19 costs"/>
      <sheetName val="FY19 Initial School Allocations"/>
      <sheetName val="FY 19 Initial Allo FTE"/>
      <sheetName val="FY20 webtool"/>
      <sheetName val="Inequity"/>
      <sheetName val="as submitted"/>
      <sheetName val="The 21"/>
      <sheetName val="Enroll hist"/>
      <sheetName val="Excel"/>
    </sheetNames>
    <sheetDataSet>
      <sheetData sheetId="0">
        <row r="3">
          <cell r="A3">
            <v>202</v>
          </cell>
        </row>
      </sheetData>
      <sheetData sheetId="1"/>
      <sheetData sheetId="2">
        <row r="3">
          <cell r="F3">
            <v>222.02281368821292</v>
          </cell>
        </row>
        <row r="4">
          <cell r="F4">
            <v>253.35446685878964</v>
          </cell>
        </row>
        <row r="5">
          <cell r="F5">
            <v>253.72705882352938</v>
          </cell>
        </row>
        <row r="6">
          <cell r="F6">
            <v>514.57582417582421</v>
          </cell>
        </row>
        <row r="7">
          <cell r="F7">
            <v>0</v>
          </cell>
        </row>
        <row r="8">
          <cell r="F8">
            <v>230.26641651031895</v>
          </cell>
        </row>
        <row r="9">
          <cell r="F9">
            <v>79</v>
          </cell>
        </row>
        <row r="10">
          <cell r="F10">
            <v>310.46153846153845</v>
          </cell>
        </row>
        <row r="11">
          <cell r="F11">
            <v>285.22727272727275</v>
          </cell>
        </row>
        <row r="12">
          <cell r="F12">
            <v>135.42418032786884</v>
          </cell>
        </row>
        <row r="13">
          <cell r="F13">
            <v>43.353233830845774</v>
          </cell>
        </row>
        <row r="14">
          <cell r="F14">
            <v>365.48477157360406</v>
          </cell>
        </row>
        <row r="15">
          <cell r="F15">
            <v>175.9349593495935</v>
          </cell>
        </row>
        <row r="16">
          <cell r="F16">
            <v>312.87658227848101</v>
          </cell>
        </row>
        <row r="17">
          <cell r="F17">
            <v>239.38461538461539</v>
          </cell>
        </row>
        <row r="18">
          <cell r="F18">
            <v>137.7889447236181</v>
          </cell>
        </row>
        <row r="19">
          <cell r="F19">
            <v>139.93015873015872</v>
          </cell>
        </row>
        <row r="20">
          <cell r="F20">
            <v>221.97134670487105</v>
          </cell>
        </row>
        <row r="21">
          <cell r="F21">
            <v>185</v>
          </cell>
        </row>
        <row r="22">
          <cell r="F22">
            <v>64</v>
          </cell>
        </row>
        <row r="23">
          <cell r="F23">
            <v>629.5346197502837</v>
          </cell>
        </row>
        <row r="24">
          <cell r="F24">
            <v>154.45871559633025</v>
          </cell>
        </row>
        <row r="25">
          <cell r="F25">
            <v>890.5532523230878</v>
          </cell>
        </row>
        <row r="26">
          <cell r="F26">
            <v>339.51912568306011</v>
          </cell>
        </row>
        <row r="27">
          <cell r="F27">
            <v>137.84856396866843</v>
          </cell>
        </row>
        <row r="28">
          <cell r="F28">
            <v>225.29032258064515</v>
          </cell>
        </row>
        <row r="29">
          <cell r="F29">
            <v>181.15107913669067</v>
          </cell>
        </row>
        <row r="30">
          <cell r="F30">
            <v>565.53846153846155</v>
          </cell>
        </row>
        <row r="31">
          <cell r="F31">
            <v>557.2361445783132</v>
          </cell>
        </row>
        <row r="32">
          <cell r="F32">
            <v>33.684873949579831</v>
          </cell>
        </row>
        <row r="33">
          <cell r="F33">
            <v>182.77830188679246</v>
          </cell>
        </row>
        <row r="34">
          <cell r="F34">
            <v>181.02325581395348</v>
          </cell>
        </row>
        <row r="35">
          <cell r="F35">
            <v>349.09999999999997</v>
          </cell>
        </row>
        <row r="36">
          <cell r="F36">
            <v>247.48648648648648</v>
          </cell>
        </row>
        <row r="37">
          <cell r="F37">
            <v>140.36507936507937</v>
          </cell>
        </row>
        <row r="38">
          <cell r="F38">
            <v>227.65296803652967</v>
          </cell>
        </row>
        <row r="39">
          <cell r="F39">
            <v>114.7047867711053</v>
          </cell>
        </row>
        <row r="40">
          <cell r="F40">
            <v>315.5331325301205</v>
          </cell>
        </row>
        <row r="41">
          <cell r="F41">
            <v>38.415094339622641</v>
          </cell>
        </row>
        <row r="42">
          <cell r="F42">
            <v>333</v>
          </cell>
        </row>
        <row r="43">
          <cell r="F43">
            <v>210.19795221843003</v>
          </cell>
        </row>
        <row r="44">
          <cell r="F44">
            <v>40</v>
          </cell>
        </row>
        <row r="45">
          <cell r="F45">
            <v>0</v>
          </cell>
        </row>
        <row r="46">
          <cell r="F46">
            <v>232.96062992125985</v>
          </cell>
        </row>
        <row r="47">
          <cell r="F47">
            <v>21.35027472527473</v>
          </cell>
        </row>
        <row r="48">
          <cell r="F48">
            <v>223.53225806451613</v>
          </cell>
        </row>
        <row r="49">
          <cell r="F49">
            <v>268.6502057613169</v>
          </cell>
        </row>
        <row r="50">
          <cell r="F50">
            <v>393.43518518518522</v>
          </cell>
        </row>
        <row r="51">
          <cell r="F51">
            <v>278.1914191419142</v>
          </cell>
        </row>
        <row r="52">
          <cell r="F52">
            <v>17.160891089108912</v>
          </cell>
        </row>
        <row r="53">
          <cell r="F53">
            <v>314.26943005181346</v>
          </cell>
        </row>
        <row r="54">
          <cell r="F54">
            <v>252.95384615384617</v>
          </cell>
        </row>
        <row r="55">
          <cell r="F55">
            <v>207.33980582524271</v>
          </cell>
        </row>
        <row r="56">
          <cell r="F56">
            <v>33</v>
          </cell>
        </row>
        <row r="57">
          <cell r="F57">
            <v>219.30746268656719</v>
          </cell>
        </row>
        <row r="58">
          <cell r="F58">
            <v>192.70422535211267</v>
          </cell>
        </row>
        <row r="59">
          <cell r="F59">
            <v>216</v>
          </cell>
        </row>
        <row r="60">
          <cell r="F60">
            <v>260</v>
          </cell>
        </row>
        <row r="61">
          <cell r="F61">
            <v>137.75510204081633</v>
          </cell>
        </row>
        <row r="62">
          <cell r="F62">
            <v>0</v>
          </cell>
        </row>
        <row r="63">
          <cell r="F63">
            <v>358.04225352112672</v>
          </cell>
        </row>
        <row r="64">
          <cell r="F64">
            <v>215.52873563218392</v>
          </cell>
        </row>
        <row r="65">
          <cell r="F65">
            <v>13.089330024813895</v>
          </cell>
        </row>
        <row r="66">
          <cell r="F66">
            <v>166.85063291139238</v>
          </cell>
        </row>
        <row r="67">
          <cell r="F67">
            <v>63.735660847880304</v>
          </cell>
        </row>
        <row r="68">
          <cell r="F68">
            <v>142.66515837104075</v>
          </cell>
        </row>
        <row r="69">
          <cell r="F69">
            <v>269.27386541471049</v>
          </cell>
        </row>
        <row r="70">
          <cell r="F70">
            <v>268.59842519685043</v>
          </cell>
        </row>
        <row r="71">
          <cell r="F71">
            <v>280.03110047846894</v>
          </cell>
        </row>
        <row r="72">
          <cell r="F72">
            <v>32.78125</v>
          </cell>
        </row>
        <row r="73">
          <cell r="F73">
            <v>281.76732673267327</v>
          </cell>
        </row>
        <row r="74">
          <cell r="F74">
            <v>79</v>
          </cell>
        </row>
        <row r="75">
          <cell r="F75">
            <v>166.31720430107526</v>
          </cell>
        </row>
        <row r="76">
          <cell r="F76">
            <v>350.98337292161517</v>
          </cell>
        </row>
        <row r="77">
          <cell r="F77">
            <v>83.119170104755597</v>
          </cell>
        </row>
        <row r="78">
          <cell r="F78">
            <v>343</v>
          </cell>
        </row>
        <row r="79">
          <cell r="F79">
            <v>206.57413249211359</v>
          </cell>
        </row>
        <row r="80">
          <cell r="F80">
            <v>30.64</v>
          </cell>
        </row>
        <row r="81">
          <cell r="F81">
            <v>185.9198717948718</v>
          </cell>
        </row>
        <row r="82">
          <cell r="F82">
            <v>247</v>
          </cell>
        </row>
        <row r="83">
          <cell r="F83">
            <v>262.05970149253733</v>
          </cell>
        </row>
        <row r="84">
          <cell r="F84">
            <v>215.50437317784255</v>
          </cell>
        </row>
        <row r="85">
          <cell r="F85">
            <v>299.11128775834658</v>
          </cell>
        </row>
        <row r="86">
          <cell r="F86">
            <v>68.615384615384613</v>
          </cell>
        </row>
        <row r="87">
          <cell r="F87">
            <v>295.26363636363635</v>
          </cell>
        </row>
        <row r="88">
          <cell r="F88">
            <v>588.14222873900303</v>
          </cell>
        </row>
        <row r="89">
          <cell r="F89">
            <v>0</v>
          </cell>
        </row>
        <row r="90">
          <cell r="F90">
            <v>11.323699421965319</v>
          </cell>
        </row>
        <row r="91">
          <cell r="F91">
            <v>234</v>
          </cell>
        </row>
        <row r="92">
          <cell r="F92">
            <v>135.22648902821317</v>
          </cell>
        </row>
        <row r="93">
          <cell r="F93">
            <v>106.73504273504274</v>
          </cell>
        </row>
        <row r="94">
          <cell r="F94">
            <v>27.074193548387097</v>
          </cell>
        </row>
        <row r="95">
          <cell r="F95">
            <v>209.85675675675677</v>
          </cell>
        </row>
        <row r="96">
          <cell r="F96">
            <v>65.055134881056432</v>
          </cell>
        </row>
        <row r="97">
          <cell r="F97">
            <v>193.37358490566038</v>
          </cell>
        </row>
        <row r="98">
          <cell r="F98">
            <v>196.02702702702703</v>
          </cell>
        </row>
        <row r="99">
          <cell r="F99">
            <v>188</v>
          </cell>
        </row>
        <row r="100">
          <cell r="F100">
            <v>410</v>
          </cell>
        </row>
        <row r="101">
          <cell r="F101">
            <v>39.715639810426545</v>
          </cell>
        </row>
        <row r="102">
          <cell r="F102">
            <v>166.48387096774192</v>
          </cell>
        </row>
        <row r="103">
          <cell r="F103">
            <v>248.11134903640257</v>
          </cell>
        </row>
        <row r="104">
          <cell r="F104">
            <v>281</v>
          </cell>
        </row>
        <row r="105">
          <cell r="F105">
            <v>149.89473684210529</v>
          </cell>
        </row>
        <row r="106">
          <cell r="F106">
            <v>370.09681881051176</v>
          </cell>
        </row>
        <row r="107">
          <cell r="F107">
            <v>339.80384615384617</v>
          </cell>
        </row>
        <row r="108">
          <cell r="F108">
            <v>438.82490272373542</v>
          </cell>
        </row>
        <row r="109">
          <cell r="F109">
            <v>206.64367816091954</v>
          </cell>
        </row>
        <row r="110">
          <cell r="F110">
            <v>84</v>
          </cell>
        </row>
        <row r="111">
          <cell r="F111">
            <v>310</v>
          </cell>
        </row>
        <row r="112">
          <cell r="F112">
            <v>0</v>
          </cell>
        </row>
        <row r="113">
          <cell r="F113">
            <v>128.40094339622641</v>
          </cell>
        </row>
        <row r="114">
          <cell r="F114">
            <v>170.04651162790699</v>
          </cell>
        </row>
        <row r="115">
          <cell r="F115">
            <v>267</v>
          </cell>
        </row>
        <row r="116">
          <cell r="F116">
            <v>226.21321321321321</v>
          </cell>
        </row>
        <row r="117">
          <cell r="F117">
            <v>644.91690544412609</v>
          </cell>
        </row>
        <row r="118">
          <cell r="F118">
            <v>324.13201320132009</v>
          </cell>
        </row>
        <row r="119">
          <cell r="F11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$$"/>
      <sheetName val="FY21 FTE"/>
      <sheetName val="FY21@ FY20 cost $$"/>
      <sheetName val="School Impact"/>
      <sheetName val="Gains&amp;Losses"/>
      <sheetName val="Gen ed per pupilxsize"/>
      <sheetName val="FY20 Initial Budget Allocat (2)"/>
      <sheetName val="FY20 Initial Budget Allocat FT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G3">
            <v>173177.12015668923</v>
          </cell>
          <cell r="H3">
            <v>109114.27619794433</v>
          </cell>
          <cell r="I3">
            <v>0</v>
          </cell>
          <cell r="J3">
            <v>0</v>
          </cell>
          <cell r="K3">
            <v>0</v>
          </cell>
          <cell r="L3">
            <v>40788.660078344612</v>
          </cell>
          <cell r="M3">
            <v>59319.676384927567</v>
          </cell>
          <cell r="N3">
            <v>0</v>
          </cell>
          <cell r="O3">
            <v>0</v>
          </cell>
          <cell r="P3">
            <v>0</v>
          </cell>
          <cell r="R3">
            <v>69375.836746740591</v>
          </cell>
          <cell r="S3">
            <v>54629.386746740587</v>
          </cell>
          <cell r="T3">
            <v>48958.736746740586</v>
          </cell>
          <cell r="U3">
            <v>54557.138098972166</v>
          </cell>
          <cell r="V3">
            <v>109114.27619794433</v>
          </cell>
          <cell r="W3">
            <v>109114.27619794433</v>
          </cell>
          <cell r="X3">
            <v>109114.27619794433</v>
          </cell>
          <cell r="Y3">
            <v>0</v>
          </cell>
          <cell r="AA3">
            <v>218228.55239588866</v>
          </cell>
          <cell r="AB3">
            <v>68805.252769855142</v>
          </cell>
          <cell r="AC3">
            <v>109114.27619794433</v>
          </cell>
          <cell r="AD3">
            <v>34402.626384927571</v>
          </cell>
          <cell r="AE3">
            <v>218228.55239588866</v>
          </cell>
          <cell r="AF3">
            <v>68805.252769855142</v>
          </cell>
          <cell r="AG3">
            <v>218228.55239588866</v>
          </cell>
          <cell r="AH3">
            <v>68805.252769855142</v>
          </cell>
          <cell r="AI3">
            <v>218228.55239588866</v>
          </cell>
          <cell r="AJ3">
            <v>109114.27619794433</v>
          </cell>
          <cell r="AK3">
            <v>109114.27619794433</v>
          </cell>
          <cell r="AL3">
            <v>109114.27619794433</v>
          </cell>
          <cell r="AM3">
            <v>109114.27619794433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W3">
            <v>0</v>
          </cell>
          <cell r="AX3">
            <v>109114.27619794433</v>
          </cell>
          <cell r="AY3">
            <v>109114.27619794433</v>
          </cell>
          <cell r="AZ3">
            <v>545571.38098972163</v>
          </cell>
          <cell r="BA3">
            <v>68805.252769855142</v>
          </cell>
          <cell r="BB3">
            <v>0</v>
          </cell>
          <cell r="BC3">
            <v>0</v>
          </cell>
          <cell r="BD3">
            <v>9919.4796543585762</v>
          </cell>
          <cell r="BE3">
            <v>0</v>
          </cell>
          <cell r="BF3">
            <v>0</v>
          </cell>
          <cell r="BG3">
            <v>6360.9</v>
          </cell>
          <cell r="BH3">
            <v>16836</v>
          </cell>
          <cell r="BI3">
            <v>6734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CA3">
            <v>0</v>
          </cell>
          <cell r="CB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J3">
            <v>0</v>
          </cell>
          <cell r="CO3">
            <v>0</v>
          </cell>
          <cell r="CU3">
            <v>0</v>
          </cell>
          <cell r="CX3">
            <v>0</v>
          </cell>
        </row>
        <row r="4">
          <cell r="G4">
            <v>173177.12015668923</v>
          </cell>
          <cell r="H4">
            <v>109114.27619794433</v>
          </cell>
          <cell r="I4">
            <v>126355.69814102032</v>
          </cell>
          <cell r="J4">
            <v>0</v>
          </cell>
          <cell r="K4">
            <v>0</v>
          </cell>
          <cell r="L4">
            <v>81577.320156689224</v>
          </cell>
          <cell r="M4">
            <v>59319.676384927567</v>
          </cell>
          <cell r="N4">
            <v>0</v>
          </cell>
          <cell r="O4">
            <v>0</v>
          </cell>
          <cell r="P4">
            <v>0</v>
          </cell>
          <cell r="R4">
            <v>69375.836746740591</v>
          </cell>
          <cell r="S4">
            <v>54629.386746740587</v>
          </cell>
          <cell r="T4">
            <v>97917.473493481171</v>
          </cell>
          <cell r="U4">
            <v>109114.27619794433</v>
          </cell>
          <cell r="V4">
            <v>109114.27619794433</v>
          </cell>
          <cell r="W4">
            <v>109114.27619794433</v>
          </cell>
          <cell r="X4">
            <v>109114.27619794433</v>
          </cell>
          <cell r="Y4">
            <v>0</v>
          </cell>
          <cell r="AA4">
            <v>109114.27619794433</v>
          </cell>
          <cell r="AB4">
            <v>34402.626384927571</v>
          </cell>
          <cell r="AC4">
            <v>327342.82859383302</v>
          </cell>
          <cell r="AD4">
            <v>137610.50553971028</v>
          </cell>
          <cell r="AE4">
            <v>109114.27619794433</v>
          </cell>
          <cell r="AF4">
            <v>34402.626384927571</v>
          </cell>
          <cell r="AG4">
            <v>218228.55239588866</v>
          </cell>
          <cell r="AH4">
            <v>68805.252769855142</v>
          </cell>
          <cell r="AI4">
            <v>218228.55239588866</v>
          </cell>
          <cell r="AJ4">
            <v>218228.55239588866</v>
          </cell>
          <cell r="AK4">
            <v>218228.55239588866</v>
          </cell>
          <cell r="AL4">
            <v>218228.55239588866</v>
          </cell>
          <cell r="AM4">
            <v>327342.82859383302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W4">
            <v>0</v>
          </cell>
          <cell r="AX4">
            <v>109114.27619794433</v>
          </cell>
          <cell r="AY4">
            <v>218228.55239588866</v>
          </cell>
          <cell r="AZ4">
            <v>763799.93338561035</v>
          </cell>
          <cell r="BA4">
            <v>68805.252769855142</v>
          </cell>
          <cell r="BB4">
            <v>0</v>
          </cell>
          <cell r="BC4">
            <v>0</v>
          </cell>
          <cell r="BD4">
            <v>34718.178790255013</v>
          </cell>
          <cell r="BE4">
            <v>0</v>
          </cell>
          <cell r="BF4">
            <v>0</v>
          </cell>
          <cell r="BG4">
            <v>47888</v>
          </cell>
          <cell r="BH4">
            <v>44896</v>
          </cell>
          <cell r="BI4">
            <v>6734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CA4">
            <v>0</v>
          </cell>
          <cell r="CB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O4">
            <v>0</v>
          </cell>
          <cell r="CU4">
            <v>0</v>
          </cell>
          <cell r="CX4">
            <v>0</v>
          </cell>
        </row>
        <row r="5">
          <cell r="G5">
            <v>173177.12015668923</v>
          </cell>
          <cell r="H5">
            <v>109114.27619794433</v>
          </cell>
          <cell r="I5">
            <v>126355.69814102032</v>
          </cell>
          <cell r="J5">
            <v>0</v>
          </cell>
          <cell r="K5">
            <v>178335.88891943885</v>
          </cell>
          <cell r="L5">
            <v>40788.660078344612</v>
          </cell>
          <cell r="M5">
            <v>59319.676384927567</v>
          </cell>
          <cell r="N5">
            <v>0</v>
          </cell>
          <cell r="O5">
            <v>50130.026384927565</v>
          </cell>
          <cell r="P5">
            <v>62573.58674674041</v>
          </cell>
          <cell r="Q5">
            <v>62573.586746740584</v>
          </cell>
          <cell r="R5">
            <v>69375.836746740591</v>
          </cell>
          <cell r="S5">
            <v>54629.386746740587</v>
          </cell>
          <cell r="T5">
            <v>244793.68373370293</v>
          </cell>
          <cell r="U5">
            <v>54557.138098972166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1209349.8945272164</v>
          </cell>
          <cell r="AW5">
            <v>902352.81562961359</v>
          </cell>
          <cell r="AX5">
            <v>218228.55239588866</v>
          </cell>
          <cell r="AY5">
            <v>545571.38098972163</v>
          </cell>
          <cell r="AZ5">
            <v>1309371.3143753321</v>
          </cell>
          <cell r="BA5">
            <v>275221.01107942057</v>
          </cell>
          <cell r="BB5">
            <v>96126.952769855139</v>
          </cell>
          <cell r="BC5">
            <v>0</v>
          </cell>
          <cell r="BD5">
            <v>24798.699135896437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140395.22015668923</v>
          </cell>
          <cell r="CA5">
            <v>0</v>
          </cell>
          <cell r="CB5">
            <v>0</v>
          </cell>
          <cell r="CD5">
            <v>218228.55239588866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O5">
            <v>105202</v>
          </cell>
          <cell r="CU5">
            <v>105202</v>
          </cell>
          <cell r="CX5">
            <v>0</v>
          </cell>
        </row>
        <row r="6">
          <cell r="G6">
            <v>173177.12015668923</v>
          </cell>
          <cell r="H6">
            <v>109114.27619794433</v>
          </cell>
          <cell r="I6">
            <v>266750.91829770955</v>
          </cell>
          <cell r="J6">
            <v>0</v>
          </cell>
          <cell r="K6">
            <v>297226.48153239809</v>
          </cell>
          <cell r="L6">
            <v>81577.320156689224</v>
          </cell>
          <cell r="M6">
            <v>59319.676384927567</v>
          </cell>
          <cell r="N6">
            <v>62489.456938898591</v>
          </cell>
          <cell r="O6">
            <v>50130.026384927565</v>
          </cell>
          <cell r="P6">
            <v>62573.58674674041</v>
          </cell>
          <cell r="Q6">
            <v>62573.586746740584</v>
          </cell>
          <cell r="R6">
            <v>69375.836746740591</v>
          </cell>
          <cell r="S6">
            <v>54629.386746740587</v>
          </cell>
          <cell r="T6">
            <v>440628.63072066527</v>
          </cell>
          <cell r="U6">
            <v>109114.27619794433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2582371.2033513491</v>
          </cell>
          <cell r="AW6">
            <v>1146104.2421705308</v>
          </cell>
          <cell r="AX6">
            <v>218228.55239588866</v>
          </cell>
          <cell r="AY6">
            <v>545571.38098972163</v>
          </cell>
          <cell r="AZ6">
            <v>1745828.4191671093</v>
          </cell>
          <cell r="BA6">
            <v>309623.63746434811</v>
          </cell>
          <cell r="BB6">
            <v>144190.4291547827</v>
          </cell>
          <cell r="BC6">
            <v>0</v>
          </cell>
          <cell r="BD6">
            <v>24798.699135896437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140395.22015668923</v>
          </cell>
          <cell r="CA6">
            <v>0</v>
          </cell>
          <cell r="CB6">
            <v>0</v>
          </cell>
          <cell r="CD6">
            <v>218228.55239588866</v>
          </cell>
          <cell r="CE6">
            <v>0</v>
          </cell>
          <cell r="CF6">
            <v>128098.27015668922</v>
          </cell>
          <cell r="CG6">
            <v>105202</v>
          </cell>
          <cell r="CH6">
            <v>109114.27619794433</v>
          </cell>
          <cell r="CI6">
            <v>0</v>
          </cell>
          <cell r="CJ6">
            <v>0</v>
          </cell>
          <cell r="CO6">
            <v>105202</v>
          </cell>
          <cell r="CU6">
            <v>105202</v>
          </cell>
          <cell r="CX6">
            <v>0</v>
          </cell>
        </row>
        <row r="7">
          <cell r="G7">
            <v>173177.12015668923</v>
          </cell>
          <cell r="H7">
            <v>109114.27619794433</v>
          </cell>
          <cell r="I7">
            <v>223696.38411632483</v>
          </cell>
          <cell r="J7">
            <v>0</v>
          </cell>
          <cell r="K7">
            <v>200568.42973806223</v>
          </cell>
          <cell r="L7">
            <v>0</v>
          </cell>
          <cell r="M7">
            <v>59319.676384927567</v>
          </cell>
          <cell r="N7">
            <v>53562.391661913083</v>
          </cell>
          <cell r="O7">
            <v>50130.026384927565</v>
          </cell>
          <cell r="P7">
            <v>62573.586746740584</v>
          </cell>
          <cell r="R7">
            <v>69375.836746740591</v>
          </cell>
          <cell r="S7">
            <v>54629.386746740587</v>
          </cell>
          <cell r="T7">
            <v>48958.736746740586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1900406.9771141969</v>
          </cell>
          <cell r="AX7">
            <v>54557.138098972166</v>
          </cell>
          <cell r="AY7">
            <v>218228.55239588866</v>
          </cell>
          <cell r="AZ7">
            <v>763799.93338561035</v>
          </cell>
          <cell r="BA7">
            <v>68805.252769855142</v>
          </cell>
          <cell r="BB7">
            <v>48063.47638492757</v>
          </cell>
          <cell r="BC7">
            <v>0</v>
          </cell>
          <cell r="BD7">
            <v>9919.4796543585762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CA7">
            <v>0</v>
          </cell>
          <cell r="CB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O7">
            <v>0</v>
          </cell>
          <cell r="CT7">
            <v>105202</v>
          </cell>
          <cell r="CX7">
            <v>0</v>
          </cell>
        </row>
        <row r="8">
          <cell r="G8">
            <v>173177.12015668923</v>
          </cell>
          <cell r="H8">
            <v>109114.27619794433</v>
          </cell>
          <cell r="I8">
            <v>210592.83023503385</v>
          </cell>
          <cell r="J8">
            <v>0</v>
          </cell>
          <cell r="K8">
            <v>0</v>
          </cell>
          <cell r="L8">
            <v>81577.320156689224</v>
          </cell>
          <cell r="M8">
            <v>59319.676384927567</v>
          </cell>
          <cell r="N8">
            <v>66952.989577391359</v>
          </cell>
          <cell r="O8">
            <v>0</v>
          </cell>
          <cell r="P8">
            <v>0</v>
          </cell>
          <cell r="R8">
            <v>69375.836746740591</v>
          </cell>
          <cell r="S8">
            <v>54629.386746740587</v>
          </cell>
          <cell r="T8">
            <v>195834.94698696234</v>
          </cell>
          <cell r="U8">
            <v>109114.27619794433</v>
          </cell>
          <cell r="V8">
            <v>109114.27619794433</v>
          </cell>
          <cell r="W8">
            <v>109114.27619794433</v>
          </cell>
          <cell r="X8">
            <v>109114.27619794433</v>
          </cell>
          <cell r="Y8">
            <v>163671.41429691651</v>
          </cell>
          <cell r="AA8">
            <v>327342.82859383302</v>
          </cell>
          <cell r="AB8">
            <v>103207.87915478271</v>
          </cell>
          <cell r="AC8">
            <v>0</v>
          </cell>
          <cell r="AD8">
            <v>0</v>
          </cell>
          <cell r="AE8">
            <v>327342.82859383302</v>
          </cell>
          <cell r="AF8">
            <v>103207.87915478271</v>
          </cell>
          <cell r="AG8">
            <v>436457.10479177732</v>
          </cell>
          <cell r="AH8">
            <v>137610.50553971028</v>
          </cell>
          <cell r="AI8">
            <v>436457.10479177732</v>
          </cell>
          <cell r="AJ8">
            <v>436457.10479177732</v>
          </cell>
          <cell r="AK8">
            <v>436457.10479177732</v>
          </cell>
          <cell r="AL8">
            <v>327342.82859383302</v>
          </cell>
          <cell r="AM8">
            <v>327342.82859383302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>
            <v>0</v>
          </cell>
          <cell r="AX8">
            <v>109114.27619794433</v>
          </cell>
          <cell r="AY8">
            <v>218228.55239588866</v>
          </cell>
          <cell r="AZ8">
            <v>872914.20958355465</v>
          </cell>
          <cell r="BA8">
            <v>34402.626384927571</v>
          </cell>
          <cell r="BB8">
            <v>0</v>
          </cell>
          <cell r="BC8">
            <v>0</v>
          </cell>
          <cell r="BD8">
            <v>1527599.8667712207</v>
          </cell>
          <cell r="BE8">
            <v>0</v>
          </cell>
          <cell r="BF8">
            <v>327342.82859383302</v>
          </cell>
          <cell r="BG8">
            <v>5988</v>
          </cell>
          <cell r="BH8">
            <v>33672</v>
          </cell>
          <cell r="BI8">
            <v>6734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CA8">
            <v>0</v>
          </cell>
          <cell r="CB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O8">
            <v>0</v>
          </cell>
          <cell r="CU8">
            <v>0</v>
          </cell>
          <cell r="CX8">
            <v>0</v>
          </cell>
        </row>
        <row r="9">
          <cell r="G9">
            <v>173177</v>
          </cell>
          <cell r="I9">
            <v>280790</v>
          </cell>
          <cell r="K9">
            <v>118891</v>
          </cell>
          <cell r="M9">
            <v>59320</v>
          </cell>
          <cell r="R9">
            <v>69376</v>
          </cell>
          <cell r="S9">
            <v>54629</v>
          </cell>
          <cell r="T9">
            <v>48959</v>
          </cell>
          <cell r="U9">
            <v>54557</v>
          </cell>
          <cell r="AV9">
            <v>681964.22623715212</v>
          </cell>
          <cell r="AW9">
            <v>518289.77376284788</v>
          </cell>
          <cell r="AX9">
            <v>109114</v>
          </cell>
          <cell r="AY9">
            <v>109114</v>
          </cell>
          <cell r="AZ9">
            <v>109114</v>
          </cell>
          <cell r="CJ9">
            <v>0</v>
          </cell>
        </row>
        <row r="10">
          <cell r="G10">
            <v>173177</v>
          </cell>
          <cell r="H10">
            <v>109114.27619794433</v>
          </cell>
          <cell r="I10">
            <v>210592.83023503385</v>
          </cell>
          <cell r="J10">
            <v>0</v>
          </cell>
          <cell r="K10">
            <v>0</v>
          </cell>
          <cell r="L10">
            <v>81577.320156689224</v>
          </cell>
          <cell r="M10">
            <v>59319.676384927567</v>
          </cell>
          <cell r="N10">
            <v>66952.989577391359</v>
          </cell>
          <cell r="O10">
            <v>0</v>
          </cell>
          <cell r="P10">
            <v>0</v>
          </cell>
          <cell r="R10">
            <v>69375.836746740591</v>
          </cell>
          <cell r="S10">
            <v>54629.386746740587</v>
          </cell>
          <cell r="T10">
            <v>146876.21024022176</v>
          </cell>
          <cell r="U10">
            <v>109114.27619794433</v>
          </cell>
          <cell r="V10">
            <v>109114.27619794433</v>
          </cell>
          <cell r="W10">
            <v>109114.27619794433</v>
          </cell>
          <cell r="X10">
            <v>109114.27619794433</v>
          </cell>
          <cell r="Y10">
            <v>163671.41429691651</v>
          </cell>
          <cell r="AA10">
            <v>436457.10479177732</v>
          </cell>
          <cell r="AB10">
            <v>137610.50553971028</v>
          </cell>
          <cell r="AC10">
            <v>0</v>
          </cell>
          <cell r="AD10">
            <v>0</v>
          </cell>
          <cell r="AE10">
            <v>436457.10479177732</v>
          </cell>
          <cell r="AF10">
            <v>137610.50553971028</v>
          </cell>
          <cell r="AG10">
            <v>436457.10479177732</v>
          </cell>
          <cell r="AH10">
            <v>137610.50553971028</v>
          </cell>
          <cell r="AI10">
            <v>436457.10479177732</v>
          </cell>
          <cell r="AJ10">
            <v>436457.10479177732</v>
          </cell>
          <cell r="AK10">
            <v>327342.82859383302</v>
          </cell>
          <cell r="AL10">
            <v>327342.82859383302</v>
          </cell>
          <cell r="AM10">
            <v>436457.10479177732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109114.27619794433</v>
          </cell>
          <cell r="AY10">
            <v>218228.55239588866</v>
          </cell>
          <cell r="AZ10">
            <v>872914.20958355465</v>
          </cell>
          <cell r="BA10">
            <v>275221.01107942057</v>
          </cell>
          <cell r="BB10">
            <v>0</v>
          </cell>
          <cell r="BC10">
            <v>105202</v>
          </cell>
          <cell r="BD10">
            <v>1418485.5905732764</v>
          </cell>
          <cell r="BE10">
            <v>0</v>
          </cell>
          <cell r="BF10">
            <v>218228.55239588866</v>
          </cell>
          <cell r="BG10">
            <v>43404</v>
          </cell>
          <cell r="BH10">
            <v>117852</v>
          </cell>
          <cell r="BI10">
            <v>6734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CA10">
            <v>0</v>
          </cell>
          <cell r="CB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O10">
            <v>0</v>
          </cell>
          <cell r="CU10">
            <v>0</v>
          </cell>
          <cell r="CX10">
            <v>0</v>
          </cell>
        </row>
        <row r="11">
          <cell r="G11">
            <v>173177.12015668923</v>
          </cell>
          <cell r="H11">
            <v>109114.27619794433</v>
          </cell>
          <cell r="I11">
            <v>168474.26418802707</v>
          </cell>
          <cell r="J11">
            <v>0</v>
          </cell>
          <cell r="K11">
            <v>0</v>
          </cell>
          <cell r="L11">
            <v>81577.320156689224</v>
          </cell>
          <cell r="M11">
            <v>59319.676384927567</v>
          </cell>
          <cell r="N11">
            <v>53562.391661913083</v>
          </cell>
          <cell r="O11">
            <v>0</v>
          </cell>
          <cell r="P11">
            <v>0</v>
          </cell>
          <cell r="R11">
            <v>69375.836746740591</v>
          </cell>
          <cell r="S11">
            <v>54629.386746740587</v>
          </cell>
          <cell r="T11">
            <v>97917.473493481171</v>
          </cell>
          <cell r="U11">
            <v>109114.27619794433</v>
          </cell>
          <cell r="V11">
            <v>109114.27619794433</v>
          </cell>
          <cell r="W11">
            <v>109114.27619794433</v>
          </cell>
          <cell r="X11">
            <v>109114.27619794433</v>
          </cell>
          <cell r="Y11">
            <v>163671.41429691651</v>
          </cell>
          <cell r="AA11">
            <v>218228.55239588866</v>
          </cell>
          <cell r="AB11">
            <v>68805.252769855142</v>
          </cell>
          <cell r="AC11">
            <v>109114.27619794433</v>
          </cell>
          <cell r="AD11">
            <v>34402.626384927571</v>
          </cell>
          <cell r="AE11">
            <v>218228.55239588866</v>
          </cell>
          <cell r="AF11">
            <v>68805.252769855142</v>
          </cell>
          <cell r="AG11">
            <v>327342.82859383302</v>
          </cell>
          <cell r="AH11">
            <v>103207.87915478271</v>
          </cell>
          <cell r="AI11">
            <v>327342.82859383302</v>
          </cell>
          <cell r="AJ11">
            <v>327342.82859383302</v>
          </cell>
          <cell r="AK11">
            <v>327342.82859383302</v>
          </cell>
          <cell r="AL11">
            <v>436457.10479177732</v>
          </cell>
          <cell r="AM11">
            <v>218228.55239588866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W11">
            <v>0</v>
          </cell>
          <cell r="AX11">
            <v>109114.27619794433</v>
          </cell>
          <cell r="AY11">
            <v>218228.55239588866</v>
          </cell>
          <cell r="AZ11">
            <v>1091142.7619794433</v>
          </cell>
          <cell r="BA11">
            <v>344026.26384927571</v>
          </cell>
          <cell r="BB11">
            <v>0</v>
          </cell>
          <cell r="BC11">
            <v>105202</v>
          </cell>
          <cell r="BD11">
            <v>0</v>
          </cell>
          <cell r="BE11">
            <v>0</v>
          </cell>
          <cell r="BF11">
            <v>0</v>
          </cell>
          <cell r="BG11">
            <v>12348.900000000001</v>
          </cell>
          <cell r="BH11">
            <v>50508</v>
          </cell>
          <cell r="BI11">
            <v>6734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CA11">
            <v>0</v>
          </cell>
          <cell r="CB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O11">
            <v>0</v>
          </cell>
          <cell r="CU11">
            <v>0</v>
          </cell>
          <cell r="CX11">
            <v>0</v>
          </cell>
        </row>
        <row r="12">
          <cell r="G12">
            <v>173177.12015668923</v>
          </cell>
          <cell r="H12">
            <v>109114.27619794433</v>
          </cell>
          <cell r="I12">
            <v>238671.87426637168</v>
          </cell>
          <cell r="J12">
            <v>0</v>
          </cell>
          <cell r="K12">
            <v>297226.48153239809</v>
          </cell>
          <cell r="L12">
            <v>81577.320156689224</v>
          </cell>
          <cell r="M12">
            <v>59319.676384927567</v>
          </cell>
          <cell r="N12">
            <v>58025.924300405837</v>
          </cell>
          <cell r="O12">
            <v>50130.026384927565</v>
          </cell>
          <cell r="P12">
            <v>62573.586746740584</v>
          </cell>
          <cell r="R12">
            <v>69375.836746740591</v>
          </cell>
          <cell r="S12">
            <v>54629.386746740587</v>
          </cell>
          <cell r="T12">
            <v>244793.68373370293</v>
          </cell>
          <cell r="U12">
            <v>109114.27619794433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752888.50576581596</v>
          </cell>
          <cell r="AR12">
            <v>611039.94670848816</v>
          </cell>
          <cell r="AS12">
            <v>480102.81527095509</v>
          </cell>
          <cell r="AT12">
            <v>458279.96003136621</v>
          </cell>
          <cell r="AU12">
            <v>0</v>
          </cell>
          <cell r="AW12">
            <v>0</v>
          </cell>
          <cell r="AX12">
            <v>54557.138098972166</v>
          </cell>
          <cell r="AY12">
            <v>109114.27619794433</v>
          </cell>
          <cell r="AZ12">
            <v>54557.138098972166</v>
          </cell>
          <cell r="BA12">
            <v>0</v>
          </cell>
          <cell r="BB12">
            <v>0</v>
          </cell>
          <cell r="BC12">
            <v>0</v>
          </cell>
          <cell r="BD12">
            <v>9919.4796543585762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P12">
            <v>105202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CA12">
            <v>0</v>
          </cell>
          <cell r="CB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O12">
            <v>105202</v>
          </cell>
          <cell r="CU12">
            <v>0</v>
          </cell>
          <cell r="CX12">
            <v>0</v>
          </cell>
        </row>
        <row r="13">
          <cell r="G13">
            <v>173177.12015668923</v>
          </cell>
          <cell r="H13">
            <v>109114.27619794433</v>
          </cell>
          <cell r="I13">
            <v>154434.74217235818</v>
          </cell>
          <cell r="J13">
            <v>0</v>
          </cell>
          <cell r="K13">
            <v>0</v>
          </cell>
          <cell r="L13">
            <v>81577.320156689224</v>
          </cell>
          <cell r="M13">
            <v>59319.676384927567</v>
          </cell>
          <cell r="N13">
            <v>49098.859023420329</v>
          </cell>
          <cell r="O13">
            <v>0</v>
          </cell>
          <cell r="P13">
            <v>0</v>
          </cell>
          <cell r="R13">
            <v>69375.836746740591</v>
          </cell>
          <cell r="S13">
            <v>54629.386746740587</v>
          </cell>
          <cell r="T13">
            <v>97917.473493481171</v>
          </cell>
          <cell r="U13">
            <v>109114.27619794433</v>
          </cell>
          <cell r="V13">
            <v>109114.27619794433</v>
          </cell>
          <cell r="W13">
            <v>109114.27619794433</v>
          </cell>
          <cell r="X13">
            <v>109114.27619794433</v>
          </cell>
          <cell r="Y13">
            <v>163671.41429691651</v>
          </cell>
          <cell r="AA13">
            <v>0</v>
          </cell>
          <cell r="AB13">
            <v>0</v>
          </cell>
          <cell r="AC13">
            <v>436457.10479177732</v>
          </cell>
          <cell r="AD13">
            <v>137610.50553971028</v>
          </cell>
          <cell r="AE13">
            <v>0</v>
          </cell>
          <cell r="AF13">
            <v>0</v>
          </cell>
          <cell r="AG13">
            <v>327342.82859383302</v>
          </cell>
          <cell r="AH13">
            <v>103207.87915478271</v>
          </cell>
          <cell r="AI13">
            <v>327342.82859383302</v>
          </cell>
          <cell r="AJ13">
            <v>436457.10479177732</v>
          </cell>
          <cell r="AK13">
            <v>327342.82859383302</v>
          </cell>
          <cell r="AL13">
            <v>327342.82859383302</v>
          </cell>
          <cell r="AM13">
            <v>218228.55239588866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54557.138098972166</v>
          </cell>
          <cell r="AY13">
            <v>109114.27619794433</v>
          </cell>
          <cell r="AZ13">
            <v>327342.82859383302</v>
          </cell>
          <cell r="BA13">
            <v>0</v>
          </cell>
          <cell r="BB13">
            <v>0</v>
          </cell>
          <cell r="BC13">
            <v>0</v>
          </cell>
          <cell r="BD13">
            <v>109114.27619794433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CA13">
            <v>0</v>
          </cell>
          <cell r="CB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O13">
            <v>0</v>
          </cell>
          <cell r="CU13">
            <v>0</v>
          </cell>
          <cell r="CX13">
            <v>0</v>
          </cell>
        </row>
        <row r="14">
          <cell r="G14">
            <v>173177.12015668923</v>
          </cell>
          <cell r="H14">
            <v>109114.27619794433</v>
          </cell>
          <cell r="I14">
            <v>252711.39628204063</v>
          </cell>
          <cell r="J14">
            <v>109114.27619794433</v>
          </cell>
          <cell r="K14">
            <v>0</v>
          </cell>
          <cell r="L14">
            <v>81577.320156689224</v>
          </cell>
          <cell r="M14">
            <v>59319.676384927567</v>
          </cell>
          <cell r="N14">
            <v>75880.054854376867</v>
          </cell>
          <cell r="O14">
            <v>0</v>
          </cell>
          <cell r="P14">
            <v>0</v>
          </cell>
          <cell r="R14">
            <v>69375.836746740591</v>
          </cell>
          <cell r="S14">
            <v>54629.386746740587</v>
          </cell>
          <cell r="T14">
            <v>195834.94698696234</v>
          </cell>
          <cell r="U14">
            <v>109114.27619794433</v>
          </cell>
          <cell r="V14">
            <v>109114.27619794433</v>
          </cell>
          <cell r="W14">
            <v>109114.27619794433</v>
          </cell>
          <cell r="X14">
            <v>109114.27619794433</v>
          </cell>
          <cell r="Y14">
            <v>272785.69049486081</v>
          </cell>
          <cell r="AA14">
            <v>218228.55239588866</v>
          </cell>
          <cell r="AB14">
            <v>68805.252769855142</v>
          </cell>
          <cell r="AC14">
            <v>109114.27619794433</v>
          </cell>
          <cell r="AD14">
            <v>34402.626384927571</v>
          </cell>
          <cell r="AE14">
            <v>327342.82859383302</v>
          </cell>
          <cell r="AF14">
            <v>103207.87915478271</v>
          </cell>
          <cell r="AG14">
            <v>436457.10479177732</v>
          </cell>
          <cell r="AH14">
            <v>137610.50553971028</v>
          </cell>
          <cell r="AI14">
            <v>327342.82859383302</v>
          </cell>
          <cell r="AJ14">
            <v>436457.10479177732</v>
          </cell>
          <cell r="AK14">
            <v>436457.10479177732</v>
          </cell>
          <cell r="AL14">
            <v>327342.82859383302</v>
          </cell>
          <cell r="AM14">
            <v>436457.10479177732</v>
          </cell>
          <cell r="AN14">
            <v>0</v>
          </cell>
          <cell r="AO14">
            <v>381899.96669280517</v>
          </cell>
          <cell r="AP14">
            <v>250962.83525527193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109114.27619794433</v>
          </cell>
          <cell r="AY14">
            <v>327342.82859383302</v>
          </cell>
          <cell r="AZ14">
            <v>872914.20958355465</v>
          </cell>
          <cell r="BA14">
            <v>68805.252769855142</v>
          </cell>
          <cell r="BB14">
            <v>0</v>
          </cell>
          <cell r="BC14">
            <v>0</v>
          </cell>
          <cell r="BD14">
            <v>2509628.3525527194</v>
          </cell>
          <cell r="BE14">
            <v>34402.626384927571</v>
          </cell>
          <cell r="BF14">
            <v>545571.38098972163</v>
          </cell>
          <cell r="BG14">
            <v>12348.5</v>
          </cell>
          <cell r="BH14">
            <v>44896</v>
          </cell>
          <cell r="BI14">
            <v>6734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CA14">
            <v>0</v>
          </cell>
          <cell r="CB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218228.55239588866</v>
          </cell>
          <cell r="CJ14">
            <v>0</v>
          </cell>
          <cell r="CO14">
            <v>0</v>
          </cell>
          <cell r="CU14">
            <v>0</v>
          </cell>
          <cell r="CX14">
            <v>0</v>
          </cell>
        </row>
        <row r="15">
          <cell r="G15">
            <v>173177.12015668923</v>
          </cell>
          <cell r="H15">
            <v>109114.27619794433</v>
          </cell>
          <cell r="I15">
            <v>140395.22015668923</v>
          </cell>
          <cell r="J15">
            <v>109114.27619794433</v>
          </cell>
          <cell r="K15">
            <v>0</v>
          </cell>
          <cell r="L15">
            <v>81577.320156689224</v>
          </cell>
          <cell r="M15">
            <v>59319.676384927567</v>
          </cell>
          <cell r="N15">
            <v>0</v>
          </cell>
          <cell r="O15">
            <v>0</v>
          </cell>
          <cell r="P15">
            <v>0</v>
          </cell>
          <cell r="R15">
            <v>69375.836746740591</v>
          </cell>
          <cell r="S15">
            <v>54629.386746740587</v>
          </cell>
          <cell r="T15">
            <v>146876.21024022176</v>
          </cell>
          <cell r="U15">
            <v>109114.27619794433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447368.53241157171</v>
          </cell>
          <cell r="AO15">
            <v>611039.94670848816</v>
          </cell>
          <cell r="AP15">
            <v>480102.81527095509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W15">
            <v>0</v>
          </cell>
          <cell r="AX15">
            <v>109114.27619794433</v>
          </cell>
          <cell r="AY15">
            <v>218228.55239588866</v>
          </cell>
          <cell r="AZ15">
            <v>763799.93338561035</v>
          </cell>
          <cell r="BA15">
            <v>137610.50553971028</v>
          </cell>
          <cell r="BB15">
            <v>0</v>
          </cell>
          <cell r="BC15">
            <v>0</v>
          </cell>
          <cell r="BD15">
            <v>49597.398271792874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CA15">
            <v>0</v>
          </cell>
          <cell r="CB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218228.55239588866</v>
          </cell>
          <cell r="CJ15">
            <v>0</v>
          </cell>
          <cell r="CO15">
            <v>0</v>
          </cell>
          <cell r="CU15">
            <v>0</v>
          </cell>
          <cell r="CX15">
            <v>0</v>
          </cell>
        </row>
        <row r="16">
          <cell r="G16">
            <v>173177.12015668923</v>
          </cell>
          <cell r="H16">
            <v>109114.27619794433</v>
          </cell>
          <cell r="I16">
            <v>56158.088062675699</v>
          </cell>
          <cell r="J16">
            <v>109114.27619794433</v>
          </cell>
          <cell r="K16">
            <v>0</v>
          </cell>
          <cell r="L16">
            <v>81577.320156689224</v>
          </cell>
          <cell r="M16">
            <v>59319.676384927567</v>
          </cell>
          <cell r="N16">
            <v>44635.326384927568</v>
          </cell>
          <cell r="O16">
            <v>0</v>
          </cell>
          <cell r="P16">
            <v>0</v>
          </cell>
          <cell r="R16">
            <v>69375.836746740591</v>
          </cell>
          <cell r="S16">
            <v>54629.386746740587</v>
          </cell>
          <cell r="T16">
            <v>146876.21024022176</v>
          </cell>
          <cell r="U16">
            <v>109114.27619794433</v>
          </cell>
          <cell r="V16">
            <v>109114.27619794433</v>
          </cell>
          <cell r="W16">
            <v>109114.27619794433</v>
          </cell>
          <cell r="X16">
            <v>109114.27619794433</v>
          </cell>
          <cell r="Y16">
            <v>3.4924596548080444E-10</v>
          </cell>
          <cell r="Z16">
            <v>218228.55239588866</v>
          </cell>
          <cell r="AA16">
            <v>218228.55239588866</v>
          </cell>
          <cell r="AB16">
            <v>68805.252769855142</v>
          </cell>
          <cell r="AC16">
            <v>0</v>
          </cell>
          <cell r="AD16">
            <v>0</v>
          </cell>
          <cell r="AE16">
            <v>218228.55239588866</v>
          </cell>
          <cell r="AF16">
            <v>68805.252769855142</v>
          </cell>
          <cell r="AG16">
            <v>218228.55239588866</v>
          </cell>
          <cell r="AH16">
            <v>68805.252769855142</v>
          </cell>
          <cell r="AI16">
            <v>218228.55239588866</v>
          </cell>
          <cell r="AJ16">
            <v>218228.55239588866</v>
          </cell>
          <cell r="AK16">
            <v>218228.55239588866</v>
          </cell>
          <cell r="AL16">
            <v>218228.55239588866</v>
          </cell>
          <cell r="AM16">
            <v>218228.55239588866</v>
          </cell>
          <cell r="AN16">
            <v>163671.41429691651</v>
          </cell>
          <cell r="AO16">
            <v>163671.41429691651</v>
          </cell>
          <cell r="AP16">
            <v>207317.12477609422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0</v>
          </cell>
          <cell r="AX16">
            <v>109114.27619794433</v>
          </cell>
          <cell r="AY16">
            <v>218228.55239588866</v>
          </cell>
          <cell r="AZ16">
            <v>654685.65718766605</v>
          </cell>
          <cell r="BA16">
            <v>137610.50553971028</v>
          </cell>
          <cell r="BB16">
            <v>0</v>
          </cell>
          <cell r="BC16">
            <v>0</v>
          </cell>
          <cell r="BD16">
            <v>218228.55239588866</v>
          </cell>
          <cell r="BE16">
            <v>0</v>
          </cell>
          <cell r="BF16">
            <v>0</v>
          </cell>
          <cell r="BG16">
            <v>374.89999999999964</v>
          </cell>
          <cell r="BH16">
            <v>11224</v>
          </cell>
          <cell r="BI16">
            <v>6734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109114.27619794433</v>
          </cell>
          <cell r="BU16">
            <v>0</v>
          </cell>
          <cell r="BV16">
            <v>0</v>
          </cell>
          <cell r="CA16">
            <v>0</v>
          </cell>
          <cell r="CB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218228.55239588866</v>
          </cell>
          <cell r="CJ16">
            <v>0</v>
          </cell>
          <cell r="CO16">
            <v>0</v>
          </cell>
          <cell r="CU16">
            <v>0</v>
          </cell>
          <cell r="CX16">
            <v>0</v>
          </cell>
        </row>
        <row r="17">
          <cell r="G17">
            <v>173177.12015668923</v>
          </cell>
          <cell r="H17">
            <v>109114.27619794433</v>
          </cell>
          <cell r="I17">
            <v>154434.74217235818</v>
          </cell>
          <cell r="J17">
            <v>0</v>
          </cell>
          <cell r="K17">
            <v>0</v>
          </cell>
          <cell r="L17">
            <v>81577.320156689224</v>
          </cell>
          <cell r="M17">
            <v>59319.676384927567</v>
          </cell>
          <cell r="N17">
            <v>49098.859023420329</v>
          </cell>
          <cell r="O17">
            <v>0</v>
          </cell>
          <cell r="P17">
            <v>0</v>
          </cell>
          <cell r="R17">
            <v>69375.836746740591</v>
          </cell>
          <cell r="S17">
            <v>54629.386746740587</v>
          </cell>
          <cell r="T17">
            <v>146876.21024022176</v>
          </cell>
          <cell r="U17">
            <v>109114.27619794433</v>
          </cell>
          <cell r="V17">
            <v>109114.27619794433</v>
          </cell>
          <cell r="W17">
            <v>109114.27619794433</v>
          </cell>
          <cell r="X17">
            <v>109114.27619794433</v>
          </cell>
          <cell r="Y17">
            <v>163671.41429691651</v>
          </cell>
          <cell r="AA17">
            <v>0</v>
          </cell>
          <cell r="AB17">
            <v>0</v>
          </cell>
          <cell r="AC17">
            <v>654685.65718766605</v>
          </cell>
          <cell r="AD17">
            <v>206415.75830956543</v>
          </cell>
          <cell r="AE17">
            <v>0</v>
          </cell>
          <cell r="AF17">
            <v>0</v>
          </cell>
          <cell r="AG17">
            <v>327342.82859383302</v>
          </cell>
          <cell r="AH17">
            <v>103207.87915478271</v>
          </cell>
          <cell r="AI17">
            <v>327342.82859383302</v>
          </cell>
          <cell r="AJ17">
            <v>327342.82859383302</v>
          </cell>
          <cell r="AK17">
            <v>327342.82859383302</v>
          </cell>
          <cell r="AL17">
            <v>327342.82859383302</v>
          </cell>
          <cell r="AM17">
            <v>218228.55239588866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109114.27619794433</v>
          </cell>
          <cell r="AY17">
            <v>218228.55239588866</v>
          </cell>
          <cell r="AZ17">
            <v>436457.10479177732</v>
          </cell>
          <cell r="BA17">
            <v>0</v>
          </cell>
          <cell r="BB17">
            <v>0</v>
          </cell>
          <cell r="BC17">
            <v>0</v>
          </cell>
          <cell r="BD17">
            <v>1418485.5905732764</v>
          </cell>
          <cell r="BE17">
            <v>0</v>
          </cell>
          <cell r="BF17">
            <v>218228.55239588866</v>
          </cell>
          <cell r="BG17">
            <v>0</v>
          </cell>
          <cell r="BH17">
            <v>0</v>
          </cell>
          <cell r="BI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CA17">
            <v>0</v>
          </cell>
          <cell r="CB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O17">
            <v>0</v>
          </cell>
          <cell r="CU17">
            <v>0</v>
          </cell>
          <cell r="CX17">
            <v>0</v>
          </cell>
        </row>
        <row r="18">
          <cell r="G18">
            <v>173177.12015668923</v>
          </cell>
          <cell r="H18">
            <v>109114.27619794433</v>
          </cell>
          <cell r="I18">
            <v>0</v>
          </cell>
          <cell r="J18">
            <v>0</v>
          </cell>
          <cell r="K18">
            <v>0</v>
          </cell>
          <cell r="L18">
            <v>40788.660078344612</v>
          </cell>
          <cell r="M18">
            <v>59319.676384927567</v>
          </cell>
          <cell r="N18">
            <v>0</v>
          </cell>
          <cell r="O18">
            <v>0</v>
          </cell>
          <cell r="P18">
            <v>0</v>
          </cell>
          <cell r="R18">
            <v>69375.836746740591</v>
          </cell>
          <cell r="S18">
            <v>54629.386746740587</v>
          </cell>
          <cell r="T18">
            <v>48958.736746740586</v>
          </cell>
          <cell r="U18">
            <v>54557.138098972166</v>
          </cell>
          <cell r="V18">
            <v>109114.27619794433</v>
          </cell>
          <cell r="W18">
            <v>109114.27619794433</v>
          </cell>
          <cell r="X18">
            <v>109114.27619794433</v>
          </cell>
          <cell r="Y18">
            <v>0</v>
          </cell>
          <cell r="AA18">
            <v>218228.55239588866</v>
          </cell>
          <cell r="AB18">
            <v>68805.252769855142</v>
          </cell>
          <cell r="AC18">
            <v>109114.27619794433</v>
          </cell>
          <cell r="AD18">
            <v>34402.626384927571</v>
          </cell>
          <cell r="AE18">
            <v>218228.55239588866</v>
          </cell>
          <cell r="AF18">
            <v>68805.252769855142</v>
          </cell>
          <cell r="AG18">
            <v>218228.55239588866</v>
          </cell>
          <cell r="AH18">
            <v>68805.252769855142</v>
          </cell>
          <cell r="AI18">
            <v>218228.55239588866</v>
          </cell>
          <cell r="AJ18">
            <v>109114.27619794433</v>
          </cell>
          <cell r="AK18">
            <v>109114.27619794433</v>
          </cell>
          <cell r="AL18">
            <v>109114.27619794433</v>
          </cell>
          <cell r="AM18">
            <v>218228.55239588866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54557.138098972166</v>
          </cell>
          <cell r="AY18">
            <v>109114.27619794433</v>
          </cell>
          <cell r="AZ18">
            <v>545571.38098972163</v>
          </cell>
          <cell r="BA18">
            <v>137610.50553971028</v>
          </cell>
          <cell r="BB18">
            <v>0</v>
          </cell>
          <cell r="BC18">
            <v>0</v>
          </cell>
          <cell r="BD18">
            <v>109114.27619794433</v>
          </cell>
          <cell r="BE18">
            <v>0</v>
          </cell>
          <cell r="BF18">
            <v>0</v>
          </cell>
          <cell r="BG18">
            <v>6360.9</v>
          </cell>
          <cell r="BH18">
            <v>16836</v>
          </cell>
          <cell r="BI18">
            <v>6734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CA18">
            <v>0</v>
          </cell>
          <cell r="CB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O18">
            <v>0</v>
          </cell>
          <cell r="CU18">
            <v>0</v>
          </cell>
          <cell r="CX18">
            <v>0</v>
          </cell>
        </row>
        <row r="19">
          <cell r="G19">
            <v>173177.12015668923</v>
          </cell>
          <cell r="H19">
            <v>109114.27619794433</v>
          </cell>
          <cell r="I19">
            <v>0</v>
          </cell>
          <cell r="J19">
            <v>0</v>
          </cell>
          <cell r="K19">
            <v>0</v>
          </cell>
          <cell r="L19">
            <v>40788.660078344612</v>
          </cell>
          <cell r="M19">
            <v>59319.676384927567</v>
          </cell>
          <cell r="N19">
            <v>0</v>
          </cell>
          <cell r="O19">
            <v>0</v>
          </cell>
          <cell r="P19">
            <v>0</v>
          </cell>
          <cell r="R19">
            <v>69375.836746740591</v>
          </cell>
          <cell r="S19">
            <v>54629.386746740587</v>
          </cell>
          <cell r="T19">
            <v>48958.736746740586</v>
          </cell>
          <cell r="U19">
            <v>54557.138098972166</v>
          </cell>
          <cell r="V19">
            <v>109114.27619794433</v>
          </cell>
          <cell r="W19">
            <v>109114.27619794433</v>
          </cell>
          <cell r="X19">
            <v>109114.27619794433</v>
          </cell>
          <cell r="Y19">
            <v>0</v>
          </cell>
          <cell r="AA19">
            <v>218228.55239588866</v>
          </cell>
          <cell r="AB19">
            <v>68805.252769855142</v>
          </cell>
          <cell r="AC19">
            <v>109114.27619794433</v>
          </cell>
          <cell r="AD19">
            <v>68805.252769855142</v>
          </cell>
          <cell r="AE19">
            <v>218228.55239588866</v>
          </cell>
          <cell r="AF19">
            <v>68805.252769855142</v>
          </cell>
          <cell r="AG19">
            <v>218228.55239588866</v>
          </cell>
          <cell r="AH19">
            <v>68805.252769855142</v>
          </cell>
          <cell r="AI19">
            <v>218228.55239588866</v>
          </cell>
          <cell r="AJ19">
            <v>109114.27619794433</v>
          </cell>
          <cell r="AK19">
            <v>218228.55239588866</v>
          </cell>
          <cell r="AL19">
            <v>109114.27619794433</v>
          </cell>
          <cell r="AM19">
            <v>218228.55239588866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109114.27619794433</v>
          </cell>
          <cell r="AY19">
            <v>109114.27619794433</v>
          </cell>
          <cell r="AZ19">
            <v>654685.65718766605</v>
          </cell>
          <cell r="BA19">
            <v>206415.75830956543</v>
          </cell>
          <cell r="BB19">
            <v>0</v>
          </cell>
          <cell r="BC19">
            <v>0</v>
          </cell>
          <cell r="BD19">
            <v>109114.27619794433</v>
          </cell>
          <cell r="BE19">
            <v>0</v>
          </cell>
          <cell r="BF19">
            <v>0</v>
          </cell>
          <cell r="BG19">
            <v>12721.8</v>
          </cell>
          <cell r="BH19">
            <v>33672</v>
          </cell>
          <cell r="BI19">
            <v>6734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CA19">
            <v>0</v>
          </cell>
          <cell r="CB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O19">
            <v>0</v>
          </cell>
          <cell r="CU19">
            <v>0</v>
          </cell>
          <cell r="CX19">
            <v>0</v>
          </cell>
        </row>
        <row r="20">
          <cell r="G20">
            <v>173177.12015668923</v>
          </cell>
          <cell r="H20">
            <v>109114.27619794433</v>
          </cell>
          <cell r="I20">
            <v>0</v>
          </cell>
          <cell r="J20">
            <v>0</v>
          </cell>
          <cell r="K20">
            <v>0</v>
          </cell>
          <cell r="L20">
            <v>40788.660078344612</v>
          </cell>
          <cell r="M20">
            <v>59319.676384927567</v>
          </cell>
          <cell r="N20">
            <v>0</v>
          </cell>
          <cell r="O20">
            <v>0</v>
          </cell>
          <cell r="P20">
            <v>0</v>
          </cell>
          <cell r="R20">
            <v>69375.836746740591</v>
          </cell>
          <cell r="S20">
            <v>54629.386746740587</v>
          </cell>
          <cell r="T20">
            <v>48958.736746740586</v>
          </cell>
          <cell r="U20">
            <v>54557.138098972166</v>
          </cell>
          <cell r="V20">
            <v>109114.27619794433</v>
          </cell>
          <cell r="W20">
            <v>109114.27619794433</v>
          </cell>
          <cell r="X20">
            <v>109114.27619794433</v>
          </cell>
          <cell r="Y20">
            <v>0</v>
          </cell>
          <cell r="AA20">
            <v>218228.55239588866</v>
          </cell>
          <cell r="AB20">
            <v>68805.252769855142</v>
          </cell>
          <cell r="AC20">
            <v>109114.27619794433</v>
          </cell>
          <cell r="AD20">
            <v>34402.626384927571</v>
          </cell>
          <cell r="AE20">
            <v>327342.82859383302</v>
          </cell>
          <cell r="AF20">
            <v>103207.87915478271</v>
          </cell>
          <cell r="AG20">
            <v>327342.82859383302</v>
          </cell>
          <cell r="AH20">
            <v>103207.87915478271</v>
          </cell>
          <cell r="AI20">
            <v>218228.55239588866</v>
          </cell>
          <cell r="AJ20">
            <v>218228.55239588866</v>
          </cell>
          <cell r="AK20">
            <v>218228.55239588866</v>
          </cell>
          <cell r="AL20">
            <v>109114.27619794433</v>
          </cell>
          <cell r="AM20">
            <v>109114.27619794433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109114.27619794433</v>
          </cell>
          <cell r="AY20">
            <v>109114.27619794433</v>
          </cell>
          <cell r="AZ20">
            <v>218228.55239588866</v>
          </cell>
          <cell r="BA20">
            <v>0</v>
          </cell>
          <cell r="BB20">
            <v>0</v>
          </cell>
          <cell r="BC20">
            <v>0</v>
          </cell>
          <cell r="BD20">
            <v>9919.4796543585762</v>
          </cell>
          <cell r="BE20">
            <v>0</v>
          </cell>
          <cell r="BF20">
            <v>0</v>
          </cell>
          <cell r="BG20">
            <v>12346.9</v>
          </cell>
          <cell r="BH20">
            <v>22448</v>
          </cell>
          <cell r="BI20">
            <v>6734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CA20">
            <v>0</v>
          </cell>
          <cell r="CB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O20">
            <v>0</v>
          </cell>
          <cell r="CU20">
            <v>0</v>
          </cell>
          <cell r="CX20">
            <v>0</v>
          </cell>
        </row>
        <row r="21">
          <cell r="G21">
            <v>173177.12015668923</v>
          </cell>
          <cell r="H21">
            <v>109114.27619794433</v>
          </cell>
          <cell r="I21">
            <v>0</v>
          </cell>
          <cell r="J21">
            <v>0</v>
          </cell>
          <cell r="K21">
            <v>0</v>
          </cell>
          <cell r="L21">
            <v>40788.660078344612</v>
          </cell>
          <cell r="M21">
            <v>59319.676384927567</v>
          </cell>
          <cell r="N21">
            <v>0</v>
          </cell>
          <cell r="O21">
            <v>0</v>
          </cell>
          <cell r="P21">
            <v>0</v>
          </cell>
          <cell r="R21">
            <v>69375.836746740591</v>
          </cell>
          <cell r="S21">
            <v>54629.386746740587</v>
          </cell>
          <cell r="T21">
            <v>48958.736746740586</v>
          </cell>
          <cell r="U21">
            <v>54557.138098972166</v>
          </cell>
          <cell r="V21">
            <v>109114.27619794433</v>
          </cell>
          <cell r="W21">
            <v>109114.27619794433</v>
          </cell>
          <cell r="X21">
            <v>109114.27619794433</v>
          </cell>
          <cell r="Y21">
            <v>0</v>
          </cell>
          <cell r="AA21">
            <v>109114.27619794433</v>
          </cell>
          <cell r="AB21">
            <v>34402.626384927571</v>
          </cell>
          <cell r="AC21">
            <v>0</v>
          </cell>
          <cell r="AD21">
            <v>0</v>
          </cell>
          <cell r="AE21">
            <v>218228.55239588866</v>
          </cell>
          <cell r="AF21">
            <v>68805.252769855142</v>
          </cell>
          <cell r="AG21">
            <v>218228.55239588866</v>
          </cell>
          <cell r="AH21">
            <v>68805.252769855142</v>
          </cell>
          <cell r="AI21">
            <v>218228.55239588866</v>
          </cell>
          <cell r="AJ21">
            <v>109114.27619794433</v>
          </cell>
          <cell r="AK21">
            <v>109114.27619794433</v>
          </cell>
          <cell r="AL21">
            <v>218228.55239588866</v>
          </cell>
          <cell r="AM21">
            <v>109114.27619794433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109114.27619794433</v>
          </cell>
          <cell r="AY21">
            <v>218228.55239588866</v>
          </cell>
          <cell r="AZ21">
            <v>654685.65718766605</v>
          </cell>
          <cell r="BA21">
            <v>137610.50553971028</v>
          </cell>
          <cell r="BB21">
            <v>0</v>
          </cell>
          <cell r="BC21">
            <v>0</v>
          </cell>
          <cell r="BD21">
            <v>9919.4796543585762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109114.27619794433</v>
          </cell>
          <cell r="BU21">
            <v>0</v>
          </cell>
          <cell r="BV21">
            <v>0</v>
          </cell>
          <cell r="CA21">
            <v>0</v>
          </cell>
          <cell r="CB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O21">
            <v>0</v>
          </cell>
          <cell r="CU21">
            <v>0</v>
          </cell>
          <cell r="CX21">
            <v>0</v>
          </cell>
        </row>
        <row r="22">
          <cell r="G22">
            <v>173177.12015668923</v>
          </cell>
          <cell r="H22">
            <v>109114.27619794433</v>
          </cell>
          <cell r="I22">
            <v>42118.566047006767</v>
          </cell>
          <cell r="J22">
            <v>109114.27619794433</v>
          </cell>
          <cell r="K22">
            <v>0</v>
          </cell>
          <cell r="L22">
            <v>81577.320156689224</v>
          </cell>
          <cell r="M22">
            <v>59319.676384927567</v>
          </cell>
          <cell r="N22">
            <v>0</v>
          </cell>
          <cell r="O22">
            <v>0</v>
          </cell>
          <cell r="P22">
            <v>0</v>
          </cell>
          <cell r="R22">
            <v>69375.836746740591</v>
          </cell>
          <cell r="S22">
            <v>54629.386746740587</v>
          </cell>
          <cell r="T22">
            <v>97917.473493481171</v>
          </cell>
          <cell r="U22">
            <v>109114.27619794433</v>
          </cell>
          <cell r="V22">
            <v>109114.27619794433</v>
          </cell>
          <cell r="W22">
            <v>109114.27619794433</v>
          </cell>
          <cell r="X22">
            <v>109114.27619794433</v>
          </cell>
          <cell r="Y22">
            <v>0</v>
          </cell>
          <cell r="AA22">
            <v>0</v>
          </cell>
          <cell r="AB22">
            <v>0</v>
          </cell>
          <cell r="AC22">
            <v>872914.20958355465</v>
          </cell>
          <cell r="AD22">
            <v>275221.01107942057</v>
          </cell>
          <cell r="AE22">
            <v>0</v>
          </cell>
          <cell r="AF22">
            <v>0</v>
          </cell>
          <cell r="AG22">
            <v>218228.55239588866</v>
          </cell>
          <cell r="AH22">
            <v>68805.252769855142</v>
          </cell>
          <cell r="AI22">
            <v>218228.55239588866</v>
          </cell>
          <cell r="AJ22">
            <v>218228.55239588866</v>
          </cell>
          <cell r="AK22">
            <v>218228.55239588866</v>
          </cell>
          <cell r="AL22">
            <v>109114.27619794433</v>
          </cell>
          <cell r="AM22">
            <v>109114.27619794433</v>
          </cell>
          <cell r="AN22">
            <v>130937.13143753319</v>
          </cell>
          <cell r="AO22">
            <v>163671.41429691651</v>
          </cell>
          <cell r="AP22">
            <v>109114.27619794433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109114.27619794433</v>
          </cell>
          <cell r="AY22">
            <v>109114.27619794433</v>
          </cell>
          <cell r="AZ22">
            <v>327342.82859383302</v>
          </cell>
          <cell r="BA22">
            <v>0</v>
          </cell>
          <cell r="BB22">
            <v>0</v>
          </cell>
          <cell r="BC22">
            <v>0</v>
          </cell>
          <cell r="BD22">
            <v>49597.398271792874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CA22">
            <v>0</v>
          </cell>
          <cell r="CB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218228.55239588866</v>
          </cell>
          <cell r="CJ22">
            <v>0</v>
          </cell>
          <cell r="CO22">
            <v>0</v>
          </cell>
          <cell r="CU22">
            <v>0</v>
          </cell>
          <cell r="CX22">
            <v>0</v>
          </cell>
        </row>
        <row r="23">
          <cell r="G23">
            <v>173177.12015668923</v>
          </cell>
          <cell r="H23">
            <v>109114.27619794433</v>
          </cell>
          <cell r="I23">
            <v>350988.05039172305</v>
          </cell>
          <cell r="J23">
            <v>109114.27619794433</v>
          </cell>
          <cell r="K23">
            <v>297226.48153239809</v>
          </cell>
          <cell r="L23">
            <v>81577.320156689224</v>
          </cell>
          <cell r="M23">
            <v>59319.676384927567</v>
          </cell>
          <cell r="N23">
            <v>84807.120131362375</v>
          </cell>
          <cell r="O23">
            <v>50130.026384927565</v>
          </cell>
          <cell r="P23">
            <v>62573.586746740584</v>
          </cell>
          <cell r="R23">
            <v>69375.836746740591</v>
          </cell>
          <cell r="S23">
            <v>54629.386746740587</v>
          </cell>
          <cell r="T23">
            <v>391669.89397392469</v>
          </cell>
          <cell r="U23">
            <v>109114.27619794433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261874.26287506637</v>
          </cell>
          <cell r="AO23">
            <v>305519.97335424408</v>
          </cell>
          <cell r="AP23">
            <v>392811.39431259962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2561457.6337467427</v>
          </cell>
          <cell r="AW23">
            <v>664706.84078541724</v>
          </cell>
          <cell r="AX23">
            <v>109114.27619794433</v>
          </cell>
          <cell r="AY23">
            <v>872914.20958355465</v>
          </cell>
          <cell r="AZ23">
            <v>2073171.2477609422</v>
          </cell>
          <cell r="BA23">
            <v>481636.76938898599</v>
          </cell>
          <cell r="BB23">
            <v>96126.952769855139</v>
          </cell>
          <cell r="BC23">
            <v>0</v>
          </cell>
          <cell r="BD23">
            <v>1964056.9715629979</v>
          </cell>
          <cell r="BE23">
            <v>68805.252769855142</v>
          </cell>
          <cell r="BF23">
            <v>356671.77783887769</v>
          </cell>
          <cell r="BG23">
            <v>0</v>
          </cell>
          <cell r="BH23">
            <v>0</v>
          </cell>
          <cell r="BI23">
            <v>0</v>
          </cell>
          <cell r="BP23">
            <v>0</v>
          </cell>
          <cell r="BQ23">
            <v>0</v>
          </cell>
          <cell r="BR23">
            <v>140395.22015668923</v>
          </cell>
          <cell r="BS23">
            <v>0</v>
          </cell>
          <cell r="BT23">
            <v>0</v>
          </cell>
          <cell r="BU23">
            <v>0</v>
          </cell>
          <cell r="BV23">
            <v>140395.22015668923</v>
          </cell>
          <cell r="CA23">
            <v>0</v>
          </cell>
          <cell r="CB23">
            <v>0</v>
          </cell>
          <cell r="CD23">
            <v>218228.55239588866</v>
          </cell>
          <cell r="CE23">
            <v>0</v>
          </cell>
          <cell r="CF23">
            <v>0</v>
          </cell>
          <cell r="CG23">
            <v>0</v>
          </cell>
          <cell r="CH23">
            <v>109114.27619794433</v>
          </cell>
          <cell r="CI23">
            <v>218228.55239588866</v>
          </cell>
          <cell r="CJ23">
            <v>0</v>
          </cell>
          <cell r="CO23">
            <v>105202</v>
          </cell>
          <cell r="CU23">
            <v>105202</v>
          </cell>
          <cell r="CX23">
            <v>0</v>
          </cell>
        </row>
        <row r="24">
          <cell r="G24">
            <v>173177.12015668923</v>
          </cell>
          <cell r="H24">
            <v>109114.27619794433</v>
          </cell>
          <cell r="I24">
            <v>112316.1761253514</v>
          </cell>
          <cell r="J24">
            <v>0</v>
          </cell>
          <cell r="K24">
            <v>0</v>
          </cell>
          <cell r="L24">
            <v>81577.320156689224</v>
          </cell>
          <cell r="M24">
            <v>59319.676384927567</v>
          </cell>
          <cell r="N24">
            <v>0</v>
          </cell>
          <cell r="O24">
            <v>0</v>
          </cell>
          <cell r="P24">
            <v>0</v>
          </cell>
          <cell r="R24">
            <v>69375.836746740591</v>
          </cell>
          <cell r="S24">
            <v>54629.386746740587</v>
          </cell>
          <cell r="T24">
            <v>48958.736746740586</v>
          </cell>
          <cell r="U24">
            <v>109114.27619794433</v>
          </cell>
          <cell r="V24">
            <v>109114.27619794433</v>
          </cell>
          <cell r="W24">
            <v>109114.27619794433</v>
          </cell>
          <cell r="X24">
            <v>109114.27619794433</v>
          </cell>
          <cell r="Y24">
            <v>4.9476511776447296E-10</v>
          </cell>
          <cell r="Z24">
            <v>163671.41429691651</v>
          </cell>
          <cell r="AA24">
            <v>218228.55239588866</v>
          </cell>
          <cell r="AB24">
            <v>68805.252769855142</v>
          </cell>
          <cell r="AC24">
            <v>109114.27619794433</v>
          </cell>
          <cell r="AD24">
            <v>68805.252769855142</v>
          </cell>
          <cell r="AE24">
            <v>218228.55239588866</v>
          </cell>
          <cell r="AF24">
            <v>68805.252769855142</v>
          </cell>
          <cell r="AG24">
            <v>218228.55239588866</v>
          </cell>
          <cell r="AH24">
            <v>68805.252769855142</v>
          </cell>
          <cell r="AI24">
            <v>218228.55239588866</v>
          </cell>
          <cell r="AJ24">
            <v>218228.55239588866</v>
          </cell>
          <cell r="AK24">
            <v>218228.55239588866</v>
          </cell>
          <cell r="AL24">
            <v>218228.55239588866</v>
          </cell>
          <cell r="AM24">
            <v>218228.55239588866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0</v>
          </cell>
          <cell r="AX24">
            <v>54557.138098972166</v>
          </cell>
          <cell r="AY24">
            <v>218228.55239588866</v>
          </cell>
          <cell r="AZ24">
            <v>436457.10479177732</v>
          </cell>
          <cell r="BA24">
            <v>34402.626384927571</v>
          </cell>
          <cell r="BB24">
            <v>48063.47638492757</v>
          </cell>
          <cell r="BC24">
            <v>0</v>
          </cell>
          <cell r="BD24">
            <v>327342.82859383302</v>
          </cell>
          <cell r="BE24">
            <v>0</v>
          </cell>
          <cell r="BF24">
            <v>0</v>
          </cell>
          <cell r="BG24">
            <v>12721.8</v>
          </cell>
          <cell r="BH24">
            <v>33672</v>
          </cell>
          <cell r="BI24">
            <v>6734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CA24">
            <v>0</v>
          </cell>
          <cell r="CB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O24">
            <v>0</v>
          </cell>
          <cell r="CU24">
            <v>0</v>
          </cell>
          <cell r="CX24">
            <v>0</v>
          </cell>
        </row>
        <row r="25">
          <cell r="G25">
            <v>173177.12015668923</v>
          </cell>
          <cell r="H25">
            <v>109114.27619794433</v>
          </cell>
          <cell r="I25">
            <v>645818.01272077044</v>
          </cell>
          <cell r="J25">
            <v>109114.27619794433</v>
          </cell>
          <cell r="K25">
            <v>475562.3704518369</v>
          </cell>
          <cell r="L25">
            <v>81577.320156689224</v>
          </cell>
          <cell r="M25">
            <v>59319.676384927567</v>
          </cell>
          <cell r="N25">
            <v>151760.10970875373</v>
          </cell>
          <cell r="O25">
            <v>50130.026384927565</v>
          </cell>
          <cell r="P25">
            <v>62573.586746740584</v>
          </cell>
          <cell r="R25">
            <v>69375.836746740591</v>
          </cell>
          <cell r="S25">
            <v>54629.386746740587</v>
          </cell>
          <cell r="T25">
            <v>440628.63072066527</v>
          </cell>
          <cell r="U25">
            <v>109114.27619794433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654685.65718766605</v>
          </cell>
          <cell r="AO25">
            <v>774711.36100540473</v>
          </cell>
          <cell r="AP25">
            <v>632862.80194807705</v>
          </cell>
          <cell r="AQ25">
            <v>1363928.4524743042</v>
          </cell>
          <cell r="AR25">
            <v>1254814.1762763597</v>
          </cell>
          <cell r="AS25">
            <v>840179.92672417138</v>
          </cell>
          <cell r="AT25">
            <v>883825.63720334903</v>
          </cell>
          <cell r="AU25">
            <v>0</v>
          </cell>
          <cell r="AW25">
            <v>0</v>
          </cell>
          <cell r="AX25">
            <v>109114.27619794433</v>
          </cell>
          <cell r="AY25">
            <v>436457.10479177732</v>
          </cell>
          <cell r="AZ25">
            <v>1527599.8667712207</v>
          </cell>
          <cell r="BA25">
            <v>68805.252769855142</v>
          </cell>
          <cell r="BB25">
            <v>0</v>
          </cell>
          <cell r="BC25">
            <v>0</v>
          </cell>
          <cell r="BD25">
            <v>2400514.0763547751</v>
          </cell>
          <cell r="BE25">
            <v>68805.252769855142</v>
          </cell>
          <cell r="BF25">
            <v>475562.3704518369</v>
          </cell>
          <cell r="BG25">
            <v>0</v>
          </cell>
          <cell r="BH25">
            <v>0</v>
          </cell>
          <cell r="BI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CA25">
            <v>0</v>
          </cell>
          <cell r="CB25">
            <v>0</v>
          </cell>
          <cell r="CD25">
            <v>218228.55239588866</v>
          </cell>
          <cell r="CE25">
            <v>0</v>
          </cell>
          <cell r="CF25">
            <v>128098.27015668922</v>
          </cell>
          <cell r="CG25">
            <v>105202</v>
          </cell>
          <cell r="CH25">
            <v>0</v>
          </cell>
          <cell r="CI25">
            <v>327342.82859383302</v>
          </cell>
          <cell r="CJ25">
            <v>0</v>
          </cell>
          <cell r="CO25">
            <v>105202</v>
          </cell>
          <cell r="CU25">
            <v>105202</v>
          </cell>
          <cell r="CX25">
            <v>0</v>
          </cell>
        </row>
        <row r="26">
          <cell r="G26">
            <v>173177.12015668923</v>
          </cell>
          <cell r="H26">
            <v>109114.27619794433</v>
          </cell>
          <cell r="I26">
            <v>182513.78620369601</v>
          </cell>
          <cell r="J26">
            <v>0</v>
          </cell>
          <cell r="K26">
            <v>237781.18522591845</v>
          </cell>
          <cell r="L26">
            <v>81577.320156689224</v>
          </cell>
          <cell r="M26">
            <v>59319.676384927567</v>
          </cell>
          <cell r="N26">
            <v>44635.326384927568</v>
          </cell>
          <cell r="O26">
            <v>50130.026384927565</v>
          </cell>
          <cell r="P26">
            <v>62573.586746740584</v>
          </cell>
          <cell r="R26">
            <v>69375.836746740591</v>
          </cell>
          <cell r="S26">
            <v>54629.386746740587</v>
          </cell>
          <cell r="T26">
            <v>293752.42048044351</v>
          </cell>
          <cell r="U26">
            <v>109114.27619794433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1818571.269965739</v>
          </cell>
          <cell r="AW26">
            <v>1089257.8335767011</v>
          </cell>
          <cell r="AX26">
            <v>109114.27619794433</v>
          </cell>
          <cell r="AY26">
            <v>327342.82859383302</v>
          </cell>
          <cell r="AZ26">
            <v>982028.48578149895</v>
          </cell>
          <cell r="BA26">
            <v>172013.13192463786</v>
          </cell>
          <cell r="BB26">
            <v>96126.952769855139</v>
          </cell>
          <cell r="BC26">
            <v>0</v>
          </cell>
          <cell r="BD26">
            <v>436457.10479177732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140395.22015668923</v>
          </cell>
          <cell r="CA26">
            <v>0</v>
          </cell>
          <cell r="CB26">
            <v>0</v>
          </cell>
          <cell r="CD26">
            <v>218228.55239588866</v>
          </cell>
          <cell r="CE26">
            <v>0</v>
          </cell>
          <cell r="CF26">
            <v>384294.81047006766</v>
          </cell>
          <cell r="CG26">
            <v>105202</v>
          </cell>
          <cell r="CH26">
            <v>0</v>
          </cell>
          <cell r="CI26">
            <v>0</v>
          </cell>
          <cell r="CJ26">
            <v>0</v>
          </cell>
          <cell r="CO26">
            <v>105202</v>
          </cell>
          <cell r="CU26">
            <v>105202</v>
          </cell>
          <cell r="CX26">
            <v>0</v>
          </cell>
        </row>
        <row r="27">
          <cell r="G27">
            <v>173177.12015668923</v>
          </cell>
          <cell r="H27">
            <v>109114.27619794433</v>
          </cell>
          <cell r="I27">
            <v>716015.62279911502</v>
          </cell>
          <cell r="J27">
            <v>414634.24955218844</v>
          </cell>
          <cell r="K27">
            <v>0</v>
          </cell>
          <cell r="L27">
            <v>81577.320156689224</v>
          </cell>
          <cell r="M27">
            <v>59319.676384927567</v>
          </cell>
          <cell r="N27">
            <v>169614.24026272475</v>
          </cell>
          <cell r="O27">
            <v>0</v>
          </cell>
          <cell r="P27">
            <v>0</v>
          </cell>
          <cell r="R27">
            <v>69375.836746740591</v>
          </cell>
          <cell r="S27">
            <v>54629.386746740587</v>
          </cell>
          <cell r="T27">
            <v>293752.42048044351</v>
          </cell>
          <cell r="U27">
            <v>109114.27619794433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2586008.3458912806</v>
          </cell>
          <cell r="AO27">
            <v>2498716.924932925</v>
          </cell>
          <cell r="AP27">
            <v>2498716.924932925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0</v>
          </cell>
          <cell r="AX27">
            <v>109114.27619794433</v>
          </cell>
          <cell r="AY27">
            <v>381899.96669280517</v>
          </cell>
          <cell r="AZ27">
            <v>1418485.5905732764</v>
          </cell>
          <cell r="BA27">
            <v>103207.87915478271</v>
          </cell>
          <cell r="BB27">
            <v>0</v>
          </cell>
          <cell r="BC27">
            <v>105202</v>
          </cell>
          <cell r="BD27">
            <v>327342.82859383302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P27">
            <v>105202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CA27">
            <v>0</v>
          </cell>
          <cell r="CB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327342.82859383302</v>
          </cell>
          <cell r="CJ27">
            <v>0</v>
          </cell>
          <cell r="CO27">
            <v>0</v>
          </cell>
          <cell r="CU27">
            <v>0</v>
          </cell>
          <cell r="CX27">
            <v>0</v>
          </cell>
        </row>
        <row r="28">
          <cell r="G28">
            <v>173177.12015668923</v>
          </cell>
          <cell r="H28">
            <v>109114.27619794433</v>
          </cell>
          <cell r="I28">
            <v>168474.26418802707</v>
          </cell>
          <cell r="J28">
            <v>0</v>
          </cell>
          <cell r="K28">
            <v>0</v>
          </cell>
          <cell r="L28">
            <v>81577.320156689224</v>
          </cell>
          <cell r="M28">
            <v>59319.676384927567</v>
          </cell>
          <cell r="N28">
            <v>53562.391661913083</v>
          </cell>
          <cell r="O28">
            <v>0</v>
          </cell>
          <cell r="P28">
            <v>0</v>
          </cell>
          <cell r="R28">
            <v>69375.836746740591</v>
          </cell>
          <cell r="S28">
            <v>54629.386746740587</v>
          </cell>
          <cell r="T28">
            <v>146876.21024022176</v>
          </cell>
          <cell r="U28">
            <v>109114.27619794433</v>
          </cell>
          <cell r="V28">
            <v>109114.27619794433</v>
          </cell>
          <cell r="W28">
            <v>109114.27619794433</v>
          </cell>
          <cell r="X28">
            <v>109114.27619794433</v>
          </cell>
          <cell r="Y28">
            <v>163671.41429691651</v>
          </cell>
          <cell r="AA28">
            <v>436457.10479177732</v>
          </cell>
          <cell r="AB28">
            <v>137610.50553971028</v>
          </cell>
          <cell r="AC28">
            <v>0</v>
          </cell>
          <cell r="AD28">
            <v>0</v>
          </cell>
          <cell r="AE28">
            <v>545571.38098972163</v>
          </cell>
          <cell r="AF28">
            <v>172013.13192463786</v>
          </cell>
          <cell r="AG28">
            <v>436457.10479177732</v>
          </cell>
          <cell r="AH28">
            <v>137610.50553971028</v>
          </cell>
          <cell r="AI28">
            <v>327342.82859383302</v>
          </cell>
          <cell r="AJ28">
            <v>327342.82859383302</v>
          </cell>
          <cell r="AK28">
            <v>327342.82859383302</v>
          </cell>
          <cell r="AL28">
            <v>218228.55239588866</v>
          </cell>
          <cell r="AM28">
            <v>218228.55239588866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W28">
            <v>0</v>
          </cell>
          <cell r="AX28">
            <v>109114.27619794433</v>
          </cell>
          <cell r="AY28">
            <v>163671.41429691651</v>
          </cell>
          <cell r="AZ28">
            <v>872914.20958355465</v>
          </cell>
          <cell r="BA28">
            <v>206415.75830956543</v>
          </cell>
          <cell r="BB28">
            <v>0</v>
          </cell>
          <cell r="BC28">
            <v>0</v>
          </cell>
          <cell r="BD28">
            <v>1200257.0381773876</v>
          </cell>
          <cell r="BE28">
            <v>0</v>
          </cell>
          <cell r="BF28">
            <v>218228.55239588866</v>
          </cell>
          <cell r="BG28">
            <v>0</v>
          </cell>
          <cell r="BH28">
            <v>0</v>
          </cell>
          <cell r="BI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CA28">
            <v>0</v>
          </cell>
          <cell r="CB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O28">
            <v>0</v>
          </cell>
          <cell r="CU28">
            <v>0</v>
          </cell>
          <cell r="CX28">
            <v>0</v>
          </cell>
        </row>
        <row r="29">
          <cell r="G29">
            <v>173177.12015668923</v>
          </cell>
          <cell r="H29">
            <v>109114.27619794433</v>
          </cell>
          <cell r="I29">
            <v>0</v>
          </cell>
          <cell r="J29">
            <v>0</v>
          </cell>
          <cell r="K29">
            <v>0</v>
          </cell>
          <cell r="L29">
            <v>40788.660078344612</v>
          </cell>
          <cell r="M29">
            <v>59319.676384927567</v>
          </cell>
          <cell r="N29">
            <v>0</v>
          </cell>
          <cell r="O29">
            <v>0</v>
          </cell>
          <cell r="P29">
            <v>0</v>
          </cell>
          <cell r="R29">
            <v>69375.836746740591</v>
          </cell>
          <cell r="S29">
            <v>54629.386746740587</v>
          </cell>
          <cell r="T29">
            <v>48958.736746740586</v>
          </cell>
          <cell r="U29">
            <v>54557.138098972166</v>
          </cell>
          <cell r="V29">
            <v>109114.27619794433</v>
          </cell>
          <cell r="W29">
            <v>109114.27619794433</v>
          </cell>
          <cell r="X29">
            <v>109114.27619794433</v>
          </cell>
          <cell r="Y29">
            <v>0</v>
          </cell>
          <cell r="AA29">
            <v>109114.27619794433</v>
          </cell>
          <cell r="AB29">
            <v>34402.626384927571</v>
          </cell>
          <cell r="AC29">
            <v>109114.27619794433</v>
          </cell>
          <cell r="AD29">
            <v>34402.626384927571</v>
          </cell>
          <cell r="AE29">
            <v>109114.27619794433</v>
          </cell>
          <cell r="AF29">
            <v>34402.626384927571</v>
          </cell>
          <cell r="AG29">
            <v>218228.55239588866</v>
          </cell>
          <cell r="AH29">
            <v>68805.252769855142</v>
          </cell>
          <cell r="AI29">
            <v>109114.27619794433</v>
          </cell>
          <cell r="AJ29">
            <v>218228.55239588866</v>
          </cell>
          <cell r="AK29">
            <v>218228.55239588866</v>
          </cell>
          <cell r="AL29">
            <v>109114.27619794433</v>
          </cell>
          <cell r="AM29">
            <v>218228.55239588866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>
            <v>0</v>
          </cell>
          <cell r="AX29">
            <v>109114.27619794433</v>
          </cell>
          <cell r="AY29">
            <v>109114.27619794433</v>
          </cell>
          <cell r="AZ29">
            <v>436457.10479177732</v>
          </cell>
          <cell r="BA29">
            <v>68805.252769855142</v>
          </cell>
          <cell r="BB29">
            <v>0</v>
          </cell>
          <cell r="BC29">
            <v>0</v>
          </cell>
          <cell r="BD29">
            <v>34718.178790255013</v>
          </cell>
          <cell r="BE29">
            <v>0</v>
          </cell>
          <cell r="BF29">
            <v>0</v>
          </cell>
          <cell r="BG29">
            <v>6360.9</v>
          </cell>
          <cell r="BH29">
            <v>16836</v>
          </cell>
          <cell r="BI29">
            <v>6734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140395.22015668923</v>
          </cell>
          <cell r="BV29">
            <v>0</v>
          </cell>
          <cell r="CA29">
            <v>0</v>
          </cell>
          <cell r="CB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O29">
            <v>0</v>
          </cell>
          <cell r="CU29">
            <v>0</v>
          </cell>
          <cell r="CX29">
            <v>0</v>
          </cell>
        </row>
        <row r="30">
          <cell r="G30">
            <v>173177.12015668923</v>
          </cell>
          <cell r="H30">
            <v>109114.27619794433</v>
          </cell>
          <cell r="I30">
            <v>336948.52837605414</v>
          </cell>
          <cell r="J30">
            <v>0</v>
          </cell>
          <cell r="K30">
            <v>356671.77783887769</v>
          </cell>
          <cell r="L30">
            <v>81577.320156689224</v>
          </cell>
          <cell r="M30">
            <v>59319.676384927567</v>
          </cell>
          <cell r="N30">
            <v>80343.587492869628</v>
          </cell>
          <cell r="O30">
            <v>50130.026384927565</v>
          </cell>
          <cell r="P30">
            <v>62573.586746740584</v>
          </cell>
          <cell r="R30">
            <v>69375.836746740591</v>
          </cell>
          <cell r="S30">
            <v>54629.386746740587</v>
          </cell>
          <cell r="T30">
            <v>342711.1572271841</v>
          </cell>
          <cell r="U30">
            <v>109114.27619794433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3318892.5676874737</v>
          </cell>
          <cell r="AW30">
            <v>861477.66642824607</v>
          </cell>
          <cell r="AX30">
            <v>109114.27619794433</v>
          </cell>
          <cell r="AY30">
            <v>327342.82859383302</v>
          </cell>
          <cell r="AZ30">
            <v>1309371.3143753321</v>
          </cell>
          <cell r="BA30">
            <v>172013.13192463786</v>
          </cell>
          <cell r="BB30">
            <v>96126.952769855139</v>
          </cell>
          <cell r="BC30">
            <v>0</v>
          </cell>
          <cell r="BD30">
            <v>218228.55239588866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140395.22015668923</v>
          </cell>
          <cell r="CA30">
            <v>0</v>
          </cell>
          <cell r="CD30">
            <v>218228.55239588866</v>
          </cell>
          <cell r="CE30">
            <v>0</v>
          </cell>
          <cell r="CF30">
            <v>128098.27015668922</v>
          </cell>
          <cell r="CG30">
            <v>105202</v>
          </cell>
          <cell r="CH30">
            <v>109114.27619794433</v>
          </cell>
          <cell r="CI30">
            <v>0</v>
          </cell>
          <cell r="CJ30">
            <v>0</v>
          </cell>
          <cell r="CO30">
            <v>105202</v>
          </cell>
          <cell r="CU30">
            <v>105202</v>
          </cell>
          <cell r="CX30">
            <v>0</v>
          </cell>
        </row>
        <row r="31">
          <cell r="G31">
            <v>173177.12015668923</v>
          </cell>
          <cell r="H31">
            <v>109114.27619794433</v>
          </cell>
          <cell r="I31">
            <v>350988.05039172305</v>
          </cell>
          <cell r="J31">
            <v>0</v>
          </cell>
          <cell r="K31">
            <v>416117.0741453573</v>
          </cell>
          <cell r="L31">
            <v>81577.320156689224</v>
          </cell>
          <cell r="M31">
            <v>59319.676384927567</v>
          </cell>
          <cell r="N31">
            <v>84807.120131362375</v>
          </cell>
          <cell r="O31">
            <v>50130.026384927565</v>
          </cell>
          <cell r="P31">
            <v>62573.586746740584</v>
          </cell>
          <cell r="R31">
            <v>69375.836746740591</v>
          </cell>
          <cell r="S31">
            <v>54629.386746740587</v>
          </cell>
          <cell r="T31">
            <v>342711.1572271841</v>
          </cell>
          <cell r="U31">
            <v>109114.27619794433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3428006.843885418</v>
          </cell>
          <cell r="AW31">
            <v>570989.96403235197</v>
          </cell>
          <cell r="AX31">
            <v>218228.55239588866</v>
          </cell>
          <cell r="AY31">
            <v>545571.38098972163</v>
          </cell>
          <cell r="AZ31">
            <v>2182285.5239588865</v>
          </cell>
          <cell r="BA31">
            <v>378428.89023420331</v>
          </cell>
          <cell r="BB31">
            <v>48063.47638492757</v>
          </cell>
          <cell r="BC31">
            <v>0</v>
          </cell>
          <cell r="BD31">
            <v>109114.27619794433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P31">
            <v>105202</v>
          </cell>
          <cell r="BQ31">
            <v>0</v>
          </cell>
          <cell r="BR31">
            <v>0</v>
          </cell>
          <cell r="BS31">
            <v>109114.27619794433</v>
          </cell>
          <cell r="BT31">
            <v>0</v>
          </cell>
          <cell r="BU31">
            <v>0</v>
          </cell>
          <cell r="BV31">
            <v>140395.22015668923</v>
          </cell>
          <cell r="CA31">
            <v>0</v>
          </cell>
          <cell r="CB31">
            <v>105202</v>
          </cell>
          <cell r="CD31">
            <v>218228.55239588866</v>
          </cell>
          <cell r="CE31">
            <v>0</v>
          </cell>
          <cell r="CF31">
            <v>128098.27015668922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O31">
            <v>105202</v>
          </cell>
          <cell r="CU31">
            <v>105202</v>
          </cell>
          <cell r="CX31">
            <v>0</v>
          </cell>
        </row>
        <row r="32">
          <cell r="G32">
            <v>173177.12015668923</v>
          </cell>
          <cell r="H32">
            <v>109114.27619794433</v>
          </cell>
          <cell r="I32">
            <v>168474.26418802707</v>
          </cell>
          <cell r="J32">
            <v>0</v>
          </cell>
          <cell r="K32">
            <v>0</v>
          </cell>
          <cell r="L32">
            <v>81577.320156689224</v>
          </cell>
          <cell r="M32">
            <v>59319.676384927567</v>
          </cell>
          <cell r="N32">
            <v>53562.391661913083</v>
          </cell>
          <cell r="O32">
            <v>0</v>
          </cell>
          <cell r="P32">
            <v>0</v>
          </cell>
          <cell r="R32">
            <v>69375.836746740591</v>
          </cell>
          <cell r="S32">
            <v>54629.386746740587</v>
          </cell>
          <cell r="T32">
            <v>97917.473493481171</v>
          </cell>
          <cell r="U32">
            <v>109114.27619794433</v>
          </cell>
          <cell r="V32">
            <v>109114.27619794433</v>
          </cell>
          <cell r="W32">
            <v>109114.27619794433</v>
          </cell>
          <cell r="X32">
            <v>109114.27619794433</v>
          </cell>
          <cell r="Y32">
            <v>163671.41429691651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218228.55239588866</v>
          </cell>
          <cell r="AF32">
            <v>68805.252769855142</v>
          </cell>
          <cell r="AG32">
            <v>327342.82859383302</v>
          </cell>
          <cell r="AH32">
            <v>103207.87915478271</v>
          </cell>
          <cell r="AI32">
            <v>327342.82859383302</v>
          </cell>
          <cell r="AJ32">
            <v>327342.82859383302</v>
          </cell>
          <cell r="AK32">
            <v>436457.10479177732</v>
          </cell>
          <cell r="AL32">
            <v>327342.82859383302</v>
          </cell>
          <cell r="AM32">
            <v>327342.82859383302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0</v>
          </cell>
          <cell r="AX32">
            <v>54557.138098972166</v>
          </cell>
          <cell r="AY32">
            <v>109114.27619794433</v>
          </cell>
          <cell r="AZ32">
            <v>436457.10479177732</v>
          </cell>
          <cell r="BA32">
            <v>34402.626384927571</v>
          </cell>
          <cell r="BB32">
            <v>0</v>
          </cell>
          <cell r="BC32">
            <v>0</v>
          </cell>
          <cell r="BD32">
            <v>327342.82859383302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CA32">
            <v>0</v>
          </cell>
          <cell r="CB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O32">
            <v>0</v>
          </cell>
          <cell r="CU32">
            <v>0</v>
          </cell>
          <cell r="CX32">
            <v>0</v>
          </cell>
        </row>
        <row r="33">
          <cell r="G33">
            <v>173177.12015668923</v>
          </cell>
          <cell r="H33">
            <v>109114.27619794433</v>
          </cell>
          <cell r="I33">
            <v>112316.1761253514</v>
          </cell>
          <cell r="J33">
            <v>109114.27619794433</v>
          </cell>
          <cell r="K33">
            <v>0</v>
          </cell>
          <cell r="L33">
            <v>40788.660078344612</v>
          </cell>
          <cell r="M33">
            <v>59319.676384927567</v>
          </cell>
          <cell r="N33">
            <v>0</v>
          </cell>
          <cell r="O33">
            <v>0</v>
          </cell>
          <cell r="P33">
            <v>0</v>
          </cell>
          <cell r="R33">
            <v>69375.836746740591</v>
          </cell>
          <cell r="S33">
            <v>54629.386746740587</v>
          </cell>
          <cell r="T33">
            <v>146876.21024022176</v>
          </cell>
          <cell r="U33">
            <v>54557.138098972166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458279.96003136621</v>
          </cell>
          <cell r="AO33">
            <v>480102.81527095509</v>
          </cell>
          <cell r="AP33">
            <v>305519.97335424408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109114.27619794433</v>
          </cell>
          <cell r="AY33">
            <v>218228.55239588866</v>
          </cell>
          <cell r="AZ33">
            <v>872914.20958355465</v>
          </cell>
          <cell r="BA33">
            <v>172013.13192463786</v>
          </cell>
          <cell r="BB33">
            <v>48063.47638492757</v>
          </cell>
          <cell r="BC33">
            <v>0</v>
          </cell>
          <cell r="BD33">
            <v>24798.699135896437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P33">
            <v>105202</v>
          </cell>
          <cell r="BQ33">
            <v>0</v>
          </cell>
          <cell r="BR33">
            <v>140395.22015668923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CA33">
            <v>0</v>
          </cell>
          <cell r="CB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218228.55239588869</v>
          </cell>
          <cell r="CJ33">
            <v>109114.27619794433</v>
          </cell>
          <cell r="CO33">
            <v>0</v>
          </cell>
          <cell r="CU33">
            <v>0</v>
          </cell>
          <cell r="CX33">
            <v>0</v>
          </cell>
        </row>
        <row r="34">
          <cell r="G34">
            <v>173177.12015668923</v>
          </cell>
          <cell r="H34">
            <v>109114.27619794433</v>
          </cell>
          <cell r="I34">
            <v>266750.91829770955</v>
          </cell>
          <cell r="J34">
            <v>0</v>
          </cell>
          <cell r="K34">
            <v>297226.48153239809</v>
          </cell>
          <cell r="L34">
            <v>81577.320156689224</v>
          </cell>
          <cell r="M34">
            <v>59319.676384927567</v>
          </cell>
          <cell r="N34">
            <v>62489.456938898591</v>
          </cell>
          <cell r="O34">
            <v>50130.026384927565</v>
          </cell>
          <cell r="P34">
            <v>62573.586746740584</v>
          </cell>
          <cell r="R34">
            <v>69375.836746740591</v>
          </cell>
          <cell r="S34">
            <v>54629.386746740587</v>
          </cell>
          <cell r="T34">
            <v>244793.68373370293</v>
          </cell>
          <cell r="U34">
            <v>109114.27619794433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2600556.9160510064</v>
          </cell>
          <cell r="AW34">
            <v>891099.92228321359</v>
          </cell>
          <cell r="AX34">
            <v>109114.27619794433</v>
          </cell>
          <cell r="AY34">
            <v>218228.55239588866</v>
          </cell>
          <cell r="AZ34">
            <v>327342.82859383302</v>
          </cell>
          <cell r="BA34">
            <v>0</v>
          </cell>
          <cell r="BB34">
            <v>0</v>
          </cell>
          <cell r="BC34">
            <v>0</v>
          </cell>
          <cell r="BD34">
            <v>44637.658444613589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CA34">
            <v>0</v>
          </cell>
          <cell r="CB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O34">
            <v>0</v>
          </cell>
          <cell r="CU34">
            <v>105202</v>
          </cell>
          <cell r="CX34">
            <v>0</v>
          </cell>
        </row>
        <row r="35">
          <cell r="G35">
            <v>173177.12015668923</v>
          </cell>
          <cell r="H35">
            <v>109114.27619794433</v>
          </cell>
          <cell r="I35">
            <v>182513.78620369601</v>
          </cell>
          <cell r="J35">
            <v>109114.27619794433</v>
          </cell>
          <cell r="K35">
            <v>0</v>
          </cell>
          <cell r="L35">
            <v>81577.320156689224</v>
          </cell>
          <cell r="M35">
            <v>59319.676384927567</v>
          </cell>
          <cell r="N35">
            <v>53562.391661913083</v>
          </cell>
          <cell r="O35">
            <v>0</v>
          </cell>
          <cell r="P35">
            <v>0</v>
          </cell>
          <cell r="R35">
            <v>69375.836746740591</v>
          </cell>
          <cell r="S35">
            <v>54629.386746740587</v>
          </cell>
          <cell r="T35">
            <v>97917.473493481171</v>
          </cell>
          <cell r="U35">
            <v>109114.27619794433</v>
          </cell>
          <cell r="V35">
            <v>109114.27619794433</v>
          </cell>
          <cell r="W35">
            <v>109114.27619794433</v>
          </cell>
          <cell r="X35">
            <v>109114.27619794433</v>
          </cell>
          <cell r="Y35">
            <v>0</v>
          </cell>
          <cell r="AA35">
            <v>327342.82859383302</v>
          </cell>
          <cell r="AB35">
            <v>103207.87915478271</v>
          </cell>
          <cell r="AC35">
            <v>109114.27619794433</v>
          </cell>
          <cell r="AD35">
            <v>34402.626384927571</v>
          </cell>
          <cell r="AE35">
            <v>327342.82859383302</v>
          </cell>
          <cell r="AF35">
            <v>103207.87915478271</v>
          </cell>
          <cell r="AG35">
            <v>218228.55239588866</v>
          </cell>
          <cell r="AH35">
            <v>68805.252769855142</v>
          </cell>
          <cell r="AI35">
            <v>218228.55239588866</v>
          </cell>
          <cell r="AJ35">
            <v>218228.55239588866</v>
          </cell>
          <cell r="AK35">
            <v>327342.82859383302</v>
          </cell>
          <cell r="AL35">
            <v>218228.55239588866</v>
          </cell>
          <cell r="AM35">
            <v>218228.55239588866</v>
          </cell>
          <cell r="AN35">
            <v>218228.55239588866</v>
          </cell>
          <cell r="AO35">
            <v>272785.69049486081</v>
          </cell>
          <cell r="AP35">
            <v>130937.13143753319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0</v>
          </cell>
          <cell r="AX35">
            <v>109114.27619794433</v>
          </cell>
          <cell r="AY35">
            <v>327342.82859383302</v>
          </cell>
          <cell r="AZ35">
            <v>763799.93338561035</v>
          </cell>
          <cell r="BA35">
            <v>0</v>
          </cell>
          <cell r="BB35">
            <v>0</v>
          </cell>
          <cell r="BC35">
            <v>0</v>
          </cell>
          <cell r="BD35">
            <v>4959.7398271792881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CA35">
            <v>0</v>
          </cell>
          <cell r="CB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218228.55239588866</v>
          </cell>
          <cell r="CJ35">
            <v>0</v>
          </cell>
          <cell r="CO35">
            <v>0</v>
          </cell>
          <cell r="CU35">
            <v>0</v>
          </cell>
          <cell r="CX35">
            <v>0</v>
          </cell>
        </row>
        <row r="36">
          <cell r="G36">
            <v>173177.12015668923</v>
          </cell>
          <cell r="H36">
            <v>109114.27619794433</v>
          </cell>
          <cell r="I36">
            <v>0</v>
          </cell>
          <cell r="J36">
            <v>0</v>
          </cell>
          <cell r="K36">
            <v>0</v>
          </cell>
          <cell r="L36">
            <v>40788.660078344612</v>
          </cell>
          <cell r="M36">
            <v>59319.676384927567</v>
          </cell>
          <cell r="N36">
            <v>0</v>
          </cell>
          <cell r="O36">
            <v>0</v>
          </cell>
          <cell r="P36">
            <v>0</v>
          </cell>
          <cell r="R36">
            <v>69375.836746740591</v>
          </cell>
          <cell r="S36">
            <v>54629.386746740587</v>
          </cell>
          <cell r="T36">
            <v>48958.736746740586</v>
          </cell>
          <cell r="U36">
            <v>54557.138098972166</v>
          </cell>
          <cell r="V36">
            <v>109114.27619794433</v>
          </cell>
          <cell r="W36">
            <v>109114.27619794433</v>
          </cell>
          <cell r="X36">
            <v>109114.27619794433</v>
          </cell>
          <cell r="Y36">
            <v>0</v>
          </cell>
          <cell r="AA36">
            <v>109114.27619794433</v>
          </cell>
          <cell r="AB36">
            <v>34402.626384927571</v>
          </cell>
          <cell r="AC36">
            <v>109114.27619794433</v>
          </cell>
          <cell r="AD36">
            <v>34402.626384927571</v>
          </cell>
          <cell r="AE36">
            <v>109114.27619794433</v>
          </cell>
          <cell r="AF36">
            <v>34402.626384927571</v>
          </cell>
          <cell r="AG36">
            <v>109114.27619794433</v>
          </cell>
          <cell r="AH36">
            <v>34402.626384927571</v>
          </cell>
          <cell r="AI36">
            <v>218228.55239588866</v>
          </cell>
          <cell r="AJ36">
            <v>218228.55239588866</v>
          </cell>
          <cell r="AK36">
            <v>218228.55239588866</v>
          </cell>
          <cell r="AL36">
            <v>327342.82859383302</v>
          </cell>
          <cell r="AM36">
            <v>218228.55239588866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109114.27619794433</v>
          </cell>
          <cell r="AY36">
            <v>109114.27619794433</v>
          </cell>
          <cell r="AZ36">
            <v>545571.38098972163</v>
          </cell>
          <cell r="BA36">
            <v>206415.75830956543</v>
          </cell>
          <cell r="BB36">
            <v>0</v>
          </cell>
          <cell r="BC36">
            <v>0</v>
          </cell>
          <cell r="BD36">
            <v>9919.4796543585762</v>
          </cell>
          <cell r="BE36">
            <v>0</v>
          </cell>
          <cell r="BF36">
            <v>0</v>
          </cell>
          <cell r="BG36">
            <v>12721.400000000001</v>
          </cell>
          <cell r="BH36">
            <v>28060</v>
          </cell>
          <cell r="BI36">
            <v>6734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CA36">
            <v>0</v>
          </cell>
          <cell r="CB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O36">
            <v>0</v>
          </cell>
          <cell r="CU36">
            <v>0</v>
          </cell>
          <cell r="CX36">
            <v>0</v>
          </cell>
        </row>
        <row r="37">
          <cell r="G37">
            <v>173177.12015668923</v>
          </cell>
          <cell r="H37">
            <v>109114.27619794433</v>
          </cell>
          <cell r="I37">
            <v>0</v>
          </cell>
          <cell r="J37">
            <v>0</v>
          </cell>
          <cell r="K37">
            <v>0</v>
          </cell>
          <cell r="L37">
            <v>40788.660078344612</v>
          </cell>
          <cell r="M37">
            <v>59319.676384927567</v>
          </cell>
          <cell r="N37">
            <v>0</v>
          </cell>
          <cell r="O37">
            <v>0</v>
          </cell>
          <cell r="P37">
            <v>0</v>
          </cell>
          <cell r="R37">
            <v>69375.836746740591</v>
          </cell>
          <cell r="S37">
            <v>54629.386746740587</v>
          </cell>
          <cell r="T37">
            <v>48958.736746740586</v>
          </cell>
          <cell r="U37">
            <v>54557.138098972166</v>
          </cell>
          <cell r="V37">
            <v>109114.27619794433</v>
          </cell>
          <cell r="W37">
            <v>109114.27619794433</v>
          </cell>
          <cell r="X37">
            <v>109114.27619794433</v>
          </cell>
          <cell r="Y37">
            <v>0</v>
          </cell>
          <cell r="AA37">
            <v>0</v>
          </cell>
          <cell r="AB37">
            <v>0</v>
          </cell>
          <cell r="AC37">
            <v>545571.38098972163</v>
          </cell>
          <cell r="AD37">
            <v>206415.75830956543</v>
          </cell>
          <cell r="AE37">
            <v>0</v>
          </cell>
          <cell r="AF37">
            <v>0</v>
          </cell>
          <cell r="AG37">
            <v>218228.55239588866</v>
          </cell>
          <cell r="AH37">
            <v>68805.252769855142</v>
          </cell>
          <cell r="AI37">
            <v>218228.55239588866</v>
          </cell>
          <cell r="AJ37">
            <v>218228.55239588866</v>
          </cell>
          <cell r="AK37">
            <v>218228.55239588866</v>
          </cell>
          <cell r="AL37">
            <v>109114.27619794433</v>
          </cell>
          <cell r="AM37">
            <v>218228.55239588866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W37">
            <v>0</v>
          </cell>
          <cell r="AX37">
            <v>54557.138098972166</v>
          </cell>
          <cell r="AY37">
            <v>109114.27619794433</v>
          </cell>
          <cell r="AZ37">
            <v>654685.65718766605</v>
          </cell>
          <cell r="BA37">
            <v>206415.75830956543</v>
          </cell>
          <cell r="BB37">
            <v>0</v>
          </cell>
          <cell r="BC37">
            <v>0</v>
          </cell>
          <cell r="BD37">
            <v>436457.10479177732</v>
          </cell>
          <cell r="BE37">
            <v>0</v>
          </cell>
          <cell r="BF37">
            <v>0</v>
          </cell>
          <cell r="BG37">
            <v>12721.400000000001</v>
          </cell>
          <cell r="BH37">
            <v>28060</v>
          </cell>
          <cell r="BI37">
            <v>6734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CA37">
            <v>0</v>
          </cell>
          <cell r="CB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O37">
            <v>0</v>
          </cell>
          <cell r="CU37">
            <v>0</v>
          </cell>
          <cell r="CX37">
            <v>0</v>
          </cell>
        </row>
        <row r="38">
          <cell r="G38">
            <v>173177.12015668923</v>
          </cell>
          <cell r="H38">
            <v>109114.27619794433</v>
          </cell>
          <cell r="I38">
            <v>140395.22015668923</v>
          </cell>
          <cell r="J38">
            <v>0</v>
          </cell>
          <cell r="K38">
            <v>0</v>
          </cell>
          <cell r="L38">
            <v>81577.320156689224</v>
          </cell>
          <cell r="M38">
            <v>59319.676384927567</v>
          </cell>
          <cell r="N38">
            <v>0</v>
          </cell>
          <cell r="O38">
            <v>0</v>
          </cell>
          <cell r="P38">
            <v>0</v>
          </cell>
          <cell r="R38">
            <v>69375.836746740591</v>
          </cell>
          <cell r="S38">
            <v>54629.386746740587</v>
          </cell>
          <cell r="T38">
            <v>97917.473493481171</v>
          </cell>
          <cell r="U38">
            <v>109114.27619794433</v>
          </cell>
          <cell r="V38">
            <v>109114.27619794433</v>
          </cell>
          <cell r="W38">
            <v>109114.27619794433</v>
          </cell>
          <cell r="X38">
            <v>109114.27619794433</v>
          </cell>
          <cell r="Y38">
            <v>0</v>
          </cell>
          <cell r="Z38">
            <v>54557.138098972166</v>
          </cell>
          <cell r="AA38">
            <v>218228.55239588866</v>
          </cell>
          <cell r="AB38">
            <v>68805.252769855142</v>
          </cell>
          <cell r="AC38">
            <v>0</v>
          </cell>
          <cell r="AD38">
            <v>0</v>
          </cell>
          <cell r="AE38">
            <v>327342.82859383302</v>
          </cell>
          <cell r="AF38">
            <v>103207.87915478271</v>
          </cell>
          <cell r="AG38">
            <v>327342.82859383302</v>
          </cell>
          <cell r="AH38">
            <v>103207.87915478271</v>
          </cell>
          <cell r="AI38">
            <v>327342.82859383302</v>
          </cell>
          <cell r="AJ38">
            <v>327342.82859383302</v>
          </cell>
          <cell r="AK38">
            <v>218228.55239588866</v>
          </cell>
          <cell r="AL38">
            <v>218228.55239588866</v>
          </cell>
          <cell r="AM38">
            <v>218228.55239588866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W38">
            <v>0</v>
          </cell>
          <cell r="AX38">
            <v>109114.27619794433</v>
          </cell>
          <cell r="AY38">
            <v>109114.27619794433</v>
          </cell>
          <cell r="AZ38">
            <v>545571.38098972163</v>
          </cell>
          <cell r="BA38">
            <v>68805.252769855142</v>
          </cell>
          <cell r="BB38">
            <v>0</v>
          </cell>
          <cell r="BC38">
            <v>0</v>
          </cell>
          <cell r="BD38">
            <v>872914.20958355465</v>
          </cell>
          <cell r="BE38">
            <v>0</v>
          </cell>
          <cell r="BF38">
            <v>109114.27619794433</v>
          </cell>
          <cell r="BG38">
            <v>0</v>
          </cell>
          <cell r="BH38">
            <v>0</v>
          </cell>
          <cell r="BI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CA38">
            <v>0</v>
          </cell>
          <cell r="CB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O38">
            <v>0</v>
          </cell>
          <cell r="CU38">
            <v>0</v>
          </cell>
          <cell r="CX38">
            <v>105202</v>
          </cell>
        </row>
        <row r="39">
          <cell r="G39">
            <v>173177.12015668923</v>
          </cell>
          <cell r="H39">
            <v>109114.27619794433</v>
          </cell>
          <cell r="I39">
            <v>224632.3522507028</v>
          </cell>
          <cell r="J39">
            <v>130937.13143753319</v>
          </cell>
          <cell r="K39">
            <v>0</v>
          </cell>
          <cell r="L39">
            <v>81577.320156689224</v>
          </cell>
          <cell r="M39">
            <v>59319.676384927567</v>
          </cell>
          <cell r="N39">
            <v>53562.391661913083</v>
          </cell>
          <cell r="O39">
            <v>0</v>
          </cell>
          <cell r="P39">
            <v>0</v>
          </cell>
          <cell r="R39">
            <v>69375.836746740591</v>
          </cell>
          <cell r="S39">
            <v>54629.386746740587</v>
          </cell>
          <cell r="T39">
            <v>97917.473493481171</v>
          </cell>
          <cell r="U39">
            <v>109114.27619794433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872914.20958355465</v>
          </cell>
          <cell r="AO39">
            <v>807445.64386478812</v>
          </cell>
          <cell r="AP39">
            <v>709242.7952866382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109114.27619794433</v>
          </cell>
          <cell r="AY39">
            <v>218228.55239588866</v>
          </cell>
          <cell r="AZ39">
            <v>872914.20958355465</v>
          </cell>
          <cell r="BA39">
            <v>137610.50553971028</v>
          </cell>
          <cell r="BB39">
            <v>0</v>
          </cell>
          <cell r="BC39">
            <v>0</v>
          </cell>
          <cell r="BD39">
            <v>109114.27619794433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P39">
            <v>0</v>
          </cell>
          <cell r="BQ39">
            <v>218228.55239588866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CA39">
            <v>0</v>
          </cell>
          <cell r="CB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327342.82859383302</v>
          </cell>
          <cell r="CJ39">
            <v>0</v>
          </cell>
          <cell r="CO39">
            <v>0</v>
          </cell>
          <cell r="CU39">
            <v>0</v>
          </cell>
          <cell r="CX39">
            <v>0</v>
          </cell>
        </row>
        <row r="40">
          <cell r="G40">
            <v>173177.12015668923</v>
          </cell>
          <cell r="H40">
            <v>109114.27619794433</v>
          </cell>
          <cell r="I40">
            <v>168474.26418802707</v>
          </cell>
          <cell r="J40">
            <v>109114.27619794433</v>
          </cell>
          <cell r="K40">
            <v>0</v>
          </cell>
          <cell r="L40">
            <v>81577.320156689224</v>
          </cell>
          <cell r="M40">
            <v>59319.676384927567</v>
          </cell>
          <cell r="N40">
            <v>0</v>
          </cell>
          <cell r="O40">
            <v>0</v>
          </cell>
          <cell r="P40">
            <v>0</v>
          </cell>
          <cell r="Q40">
            <v>62573.586746740584</v>
          </cell>
          <cell r="R40">
            <v>69375.836746740591</v>
          </cell>
          <cell r="S40">
            <v>54629.386746740587</v>
          </cell>
          <cell r="T40">
            <v>244793.68373370293</v>
          </cell>
          <cell r="U40">
            <v>109114.27619794433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545571.38098972163</v>
          </cell>
          <cell r="AO40">
            <v>643774.22956787155</v>
          </cell>
          <cell r="AP40">
            <v>567394.23622931051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109114.27619794433</v>
          </cell>
          <cell r="AY40">
            <v>436457.10479177732</v>
          </cell>
          <cell r="AZ40">
            <v>1091142.7619794433</v>
          </cell>
          <cell r="BA40">
            <v>206415.75830956543</v>
          </cell>
          <cell r="BB40">
            <v>96126.952769855139</v>
          </cell>
          <cell r="BC40">
            <v>0</v>
          </cell>
          <cell r="BD40">
            <v>19838.959308717152</v>
          </cell>
          <cell r="BE40">
            <v>0</v>
          </cell>
          <cell r="BF40">
            <v>0</v>
          </cell>
          <cell r="BG40">
            <v>5613.0999999999985</v>
          </cell>
          <cell r="BH40">
            <v>22448</v>
          </cell>
          <cell r="BI40">
            <v>6734</v>
          </cell>
          <cell r="BP40">
            <v>0</v>
          </cell>
          <cell r="BQ40">
            <v>0</v>
          </cell>
          <cell r="BR40">
            <v>140395.22015668923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CA40">
            <v>0</v>
          </cell>
          <cell r="CB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327342.82859383302</v>
          </cell>
          <cell r="CJ40">
            <v>0</v>
          </cell>
          <cell r="CO40">
            <v>0</v>
          </cell>
          <cell r="CU40">
            <v>0</v>
          </cell>
          <cell r="CX40">
            <v>0</v>
          </cell>
        </row>
        <row r="41">
          <cell r="G41">
            <v>173177.12015668923</v>
          </cell>
          <cell r="H41">
            <v>109114.27619794433</v>
          </cell>
          <cell r="I41">
            <v>126355.69814102032</v>
          </cell>
          <cell r="J41">
            <v>0</v>
          </cell>
          <cell r="K41">
            <v>0</v>
          </cell>
          <cell r="L41">
            <v>81577.320156689224</v>
          </cell>
          <cell r="M41">
            <v>59319.676384927567</v>
          </cell>
          <cell r="N41">
            <v>0</v>
          </cell>
          <cell r="O41">
            <v>0</v>
          </cell>
          <cell r="P41">
            <v>0</v>
          </cell>
          <cell r="R41">
            <v>69375.836746740591</v>
          </cell>
          <cell r="S41">
            <v>54629.386746740587</v>
          </cell>
          <cell r="T41">
            <v>97917.473493481171</v>
          </cell>
          <cell r="U41">
            <v>109114.27619794433</v>
          </cell>
          <cell r="V41">
            <v>109114.27619794433</v>
          </cell>
          <cell r="W41">
            <v>109114.27619794433</v>
          </cell>
          <cell r="X41">
            <v>109114.27619794433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218228.55239588866</v>
          </cell>
          <cell r="AF41">
            <v>68805.252769855142</v>
          </cell>
          <cell r="AG41">
            <v>327342.82859383302</v>
          </cell>
          <cell r="AH41">
            <v>103207.87915478271</v>
          </cell>
          <cell r="AI41">
            <v>327342.82859383302</v>
          </cell>
          <cell r="AJ41">
            <v>327342.82859383302</v>
          </cell>
          <cell r="AK41">
            <v>218228.55239588866</v>
          </cell>
          <cell r="AL41">
            <v>218228.55239588866</v>
          </cell>
          <cell r="AM41">
            <v>218228.55239588866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54557.138098972166</v>
          </cell>
          <cell r="AY41">
            <v>109114.27619794433</v>
          </cell>
          <cell r="AZ41">
            <v>654685.65718766605</v>
          </cell>
          <cell r="BA41">
            <v>206415.75830956543</v>
          </cell>
          <cell r="BB41">
            <v>0</v>
          </cell>
          <cell r="BC41">
            <v>0</v>
          </cell>
          <cell r="BD41">
            <v>436457.10479177732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CA41">
            <v>0</v>
          </cell>
          <cell r="CB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O41">
            <v>0</v>
          </cell>
          <cell r="CU41">
            <v>0</v>
          </cell>
          <cell r="CX41">
            <v>0</v>
          </cell>
        </row>
        <row r="42">
          <cell r="G42">
            <v>173177.12015668923</v>
          </cell>
          <cell r="H42">
            <v>109114.27619794433</v>
          </cell>
          <cell r="I42">
            <v>112316.1761253514</v>
          </cell>
          <cell r="J42">
            <v>0</v>
          </cell>
          <cell r="K42">
            <v>0</v>
          </cell>
          <cell r="L42">
            <v>81577.320156689224</v>
          </cell>
          <cell r="M42">
            <v>59319.676384927567</v>
          </cell>
          <cell r="N42">
            <v>0</v>
          </cell>
          <cell r="O42">
            <v>0</v>
          </cell>
          <cell r="P42">
            <v>0</v>
          </cell>
          <cell r="R42">
            <v>69375.836746740591</v>
          </cell>
          <cell r="S42">
            <v>54629.386746740587</v>
          </cell>
          <cell r="T42">
            <v>97917.473493481171</v>
          </cell>
          <cell r="U42">
            <v>109114.27619794433</v>
          </cell>
          <cell r="V42">
            <v>109114.27619794433</v>
          </cell>
          <cell r="W42">
            <v>109114.27619794433</v>
          </cell>
          <cell r="X42">
            <v>109114.27619794433</v>
          </cell>
          <cell r="Y42">
            <v>0</v>
          </cell>
          <cell r="AA42">
            <v>218228.55239588866</v>
          </cell>
          <cell r="AB42">
            <v>68805.252769855142</v>
          </cell>
          <cell r="AC42">
            <v>0</v>
          </cell>
          <cell r="AD42">
            <v>0</v>
          </cell>
          <cell r="AE42">
            <v>218228.55239588866</v>
          </cell>
          <cell r="AF42">
            <v>68805.252769855142</v>
          </cell>
          <cell r="AG42">
            <v>327342.82859383302</v>
          </cell>
          <cell r="AH42">
            <v>103207.87915478271</v>
          </cell>
          <cell r="AI42">
            <v>327342.82859383302</v>
          </cell>
          <cell r="AJ42">
            <v>327342.82859383302</v>
          </cell>
          <cell r="AK42">
            <v>218228.55239588866</v>
          </cell>
          <cell r="AL42">
            <v>218228.55239588866</v>
          </cell>
          <cell r="AM42">
            <v>218228.55239588866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0</v>
          </cell>
          <cell r="AX42">
            <v>109114.27619794433</v>
          </cell>
          <cell r="AY42">
            <v>218228.55239588866</v>
          </cell>
          <cell r="AZ42">
            <v>327342.82859383302</v>
          </cell>
          <cell r="BA42">
            <v>34402.626384927571</v>
          </cell>
          <cell r="BB42">
            <v>48063.47638492757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12721.8</v>
          </cell>
          <cell r="BH42">
            <v>33672</v>
          </cell>
          <cell r="BI42">
            <v>6734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CA42">
            <v>0</v>
          </cell>
          <cell r="CB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O42">
            <v>0</v>
          </cell>
          <cell r="CU42">
            <v>0</v>
          </cell>
          <cell r="CX42">
            <v>0</v>
          </cell>
        </row>
        <row r="43">
          <cell r="G43">
            <v>173177.12015668923</v>
          </cell>
          <cell r="H43">
            <v>109114.27619794433</v>
          </cell>
          <cell r="I43">
            <v>0</v>
          </cell>
          <cell r="J43">
            <v>0</v>
          </cell>
          <cell r="K43">
            <v>0</v>
          </cell>
          <cell r="L43">
            <v>40788.660078344612</v>
          </cell>
          <cell r="M43">
            <v>59319.676384927567</v>
          </cell>
          <cell r="N43">
            <v>0</v>
          </cell>
          <cell r="O43">
            <v>0</v>
          </cell>
          <cell r="P43">
            <v>0</v>
          </cell>
          <cell r="R43">
            <v>69375.836746740591</v>
          </cell>
          <cell r="S43">
            <v>54629.386746740587</v>
          </cell>
          <cell r="T43">
            <v>48958.736746740586</v>
          </cell>
          <cell r="U43">
            <v>54557.138098972166</v>
          </cell>
          <cell r="V43">
            <v>109114.27619794433</v>
          </cell>
          <cell r="W43">
            <v>109114.27619794433</v>
          </cell>
          <cell r="X43">
            <v>109114.27619794433</v>
          </cell>
          <cell r="Y43">
            <v>0</v>
          </cell>
          <cell r="AA43">
            <v>218228.55239588866</v>
          </cell>
          <cell r="AB43">
            <v>68805.252769855142</v>
          </cell>
          <cell r="AC43">
            <v>0</v>
          </cell>
          <cell r="AD43">
            <v>0</v>
          </cell>
          <cell r="AE43">
            <v>218228.55239588866</v>
          </cell>
          <cell r="AF43">
            <v>68805.252769855142</v>
          </cell>
          <cell r="AG43">
            <v>218228.55239588866</v>
          </cell>
          <cell r="AH43">
            <v>68805.252769855142</v>
          </cell>
          <cell r="AI43">
            <v>218228.55239588866</v>
          </cell>
          <cell r="AJ43">
            <v>218228.55239588866</v>
          </cell>
          <cell r="AK43">
            <v>218228.55239588866</v>
          </cell>
          <cell r="AL43">
            <v>218228.55239588866</v>
          </cell>
          <cell r="AM43">
            <v>109114.27619794433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0</v>
          </cell>
          <cell r="AX43">
            <v>109114.27619794433</v>
          </cell>
          <cell r="AY43">
            <v>109114.27619794433</v>
          </cell>
          <cell r="AZ43">
            <v>654685.65718766605</v>
          </cell>
          <cell r="BA43">
            <v>275221.01107942057</v>
          </cell>
          <cell r="BB43">
            <v>0</v>
          </cell>
          <cell r="BC43">
            <v>105202</v>
          </cell>
          <cell r="BD43">
            <v>109114.27619794433</v>
          </cell>
          <cell r="BE43">
            <v>0</v>
          </cell>
          <cell r="BF43">
            <v>0</v>
          </cell>
          <cell r="BG43">
            <v>12721.400000000001</v>
          </cell>
          <cell r="BH43">
            <v>28060</v>
          </cell>
          <cell r="BI43">
            <v>6734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CA43">
            <v>0</v>
          </cell>
          <cell r="CB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O43">
            <v>0</v>
          </cell>
          <cell r="CU43">
            <v>0</v>
          </cell>
          <cell r="CX43">
            <v>0</v>
          </cell>
        </row>
        <row r="44">
          <cell r="G44">
            <v>173177.12015668923</v>
          </cell>
          <cell r="H44">
            <v>109114.27619794433</v>
          </cell>
          <cell r="I44">
            <v>126355.69814102032</v>
          </cell>
          <cell r="J44">
            <v>0</v>
          </cell>
          <cell r="K44">
            <v>0</v>
          </cell>
          <cell r="L44">
            <v>81577.320156689224</v>
          </cell>
          <cell r="M44">
            <v>59319.676384927567</v>
          </cell>
          <cell r="N44">
            <v>0</v>
          </cell>
          <cell r="O44">
            <v>0</v>
          </cell>
          <cell r="P44">
            <v>0</v>
          </cell>
          <cell r="R44">
            <v>69375.836746740591</v>
          </cell>
          <cell r="S44">
            <v>54629.386746740587</v>
          </cell>
          <cell r="T44">
            <v>97917.473493481171</v>
          </cell>
          <cell r="U44">
            <v>109114.27619794433</v>
          </cell>
          <cell r="V44">
            <v>109114.27619794433</v>
          </cell>
          <cell r="W44">
            <v>109114.27619794433</v>
          </cell>
          <cell r="X44">
            <v>109114.27619794433</v>
          </cell>
          <cell r="Y44">
            <v>0</v>
          </cell>
          <cell r="AA44">
            <v>109114.27619794433</v>
          </cell>
          <cell r="AB44">
            <v>34402.626384927571</v>
          </cell>
          <cell r="AC44">
            <v>0</v>
          </cell>
          <cell r="AD44">
            <v>0</v>
          </cell>
          <cell r="AE44">
            <v>218228.55239588866</v>
          </cell>
          <cell r="AF44">
            <v>68805.252769855142</v>
          </cell>
          <cell r="AG44">
            <v>327342.82859383302</v>
          </cell>
          <cell r="AH44">
            <v>103207.87915478271</v>
          </cell>
          <cell r="AI44">
            <v>327342.82859383302</v>
          </cell>
          <cell r="AJ44">
            <v>327342.82859383302</v>
          </cell>
          <cell r="AK44">
            <v>218228.55239588866</v>
          </cell>
          <cell r="AL44">
            <v>218228.55239588866</v>
          </cell>
          <cell r="AM44">
            <v>218228.55239588866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0</v>
          </cell>
          <cell r="AX44">
            <v>54557.138098972166</v>
          </cell>
          <cell r="AY44">
            <v>109114.27619794433</v>
          </cell>
          <cell r="AZ44">
            <v>218228.55239588866</v>
          </cell>
          <cell r="BA44">
            <v>0</v>
          </cell>
          <cell r="BB44">
            <v>0</v>
          </cell>
          <cell r="BC44">
            <v>0</v>
          </cell>
          <cell r="BD44">
            <v>218228.55239588866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CA44">
            <v>0</v>
          </cell>
          <cell r="CB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O44">
            <v>0</v>
          </cell>
          <cell r="CU44">
            <v>0</v>
          </cell>
          <cell r="CX44">
            <v>0</v>
          </cell>
        </row>
        <row r="45">
          <cell r="G45">
            <v>0</v>
          </cell>
          <cell r="H45">
            <v>54557.138098972166</v>
          </cell>
          <cell r="I45">
            <v>0</v>
          </cell>
          <cell r="J45">
            <v>0</v>
          </cell>
          <cell r="K45">
            <v>0</v>
          </cell>
          <cell r="L45">
            <v>40788.660078344612</v>
          </cell>
          <cell r="M45">
            <v>59319.676384927567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54557.138098972166</v>
          </cell>
          <cell r="V45">
            <v>0</v>
          </cell>
          <cell r="W45">
            <v>0</v>
          </cell>
          <cell r="X45">
            <v>0</v>
          </cell>
          <cell r="Y45">
            <v>54557.138098972166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54557.138098972166</v>
          </cell>
          <cell r="AR45">
            <v>32734.282859383296</v>
          </cell>
          <cell r="AS45">
            <v>32734.282859383296</v>
          </cell>
          <cell r="AT45">
            <v>32734.282859383296</v>
          </cell>
          <cell r="AU45">
            <v>0</v>
          </cell>
          <cell r="AW45">
            <v>0</v>
          </cell>
          <cell r="AX45">
            <v>54557.138098972166</v>
          </cell>
          <cell r="AY45">
            <v>109114.27619794433</v>
          </cell>
          <cell r="AZ45">
            <v>436457.10479177732</v>
          </cell>
          <cell r="BA45">
            <v>0</v>
          </cell>
          <cell r="BB45">
            <v>0</v>
          </cell>
          <cell r="BC45">
            <v>0</v>
          </cell>
          <cell r="BD45">
            <v>9919.4796543585762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CA45">
            <v>0</v>
          </cell>
          <cell r="CB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O45">
            <v>0</v>
          </cell>
          <cell r="CU45">
            <v>0</v>
          </cell>
          <cell r="CX45">
            <v>0</v>
          </cell>
        </row>
        <row r="46">
          <cell r="G46">
            <v>173177.12015668923</v>
          </cell>
          <cell r="H46">
            <v>109114.27619794433</v>
          </cell>
          <cell r="I46">
            <v>168474.26418802707</v>
          </cell>
          <cell r="J46">
            <v>0</v>
          </cell>
          <cell r="K46">
            <v>0</v>
          </cell>
          <cell r="L46">
            <v>81577.320156689224</v>
          </cell>
          <cell r="M46">
            <v>59319.676384927567</v>
          </cell>
          <cell r="N46">
            <v>53562.391661913083</v>
          </cell>
          <cell r="O46">
            <v>0</v>
          </cell>
          <cell r="P46">
            <v>0</v>
          </cell>
          <cell r="R46">
            <v>69375.836746740591</v>
          </cell>
          <cell r="S46">
            <v>54629.386746740587</v>
          </cell>
          <cell r="T46">
            <v>97917.473493481171</v>
          </cell>
          <cell r="U46">
            <v>109114.27619794433</v>
          </cell>
          <cell r="V46">
            <v>109114.27619794433</v>
          </cell>
          <cell r="W46">
            <v>109114.27619794433</v>
          </cell>
          <cell r="X46">
            <v>109114.27619794433</v>
          </cell>
          <cell r="Y46">
            <v>163671.41429691651</v>
          </cell>
          <cell r="AA46">
            <v>327342.82859383302</v>
          </cell>
          <cell r="AB46">
            <v>103207.87915478271</v>
          </cell>
          <cell r="AC46">
            <v>109114.27619794433</v>
          </cell>
          <cell r="AD46">
            <v>68805.252769855142</v>
          </cell>
          <cell r="AE46">
            <v>327342.82859383302</v>
          </cell>
          <cell r="AF46">
            <v>103207.87915478271</v>
          </cell>
          <cell r="AG46">
            <v>436457.10479177732</v>
          </cell>
          <cell r="AH46">
            <v>137610.50553971028</v>
          </cell>
          <cell r="AI46">
            <v>327342.82859383302</v>
          </cell>
          <cell r="AJ46">
            <v>327342.82859383302</v>
          </cell>
          <cell r="AK46">
            <v>327342.82859383302</v>
          </cell>
          <cell r="AL46">
            <v>327342.82859383302</v>
          </cell>
          <cell r="AM46">
            <v>327342.82859383302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109114.27619794433</v>
          </cell>
          <cell r="AY46">
            <v>218228.55239588866</v>
          </cell>
          <cell r="AZ46">
            <v>872914.20958355465</v>
          </cell>
          <cell r="BA46">
            <v>103207.87915478271</v>
          </cell>
          <cell r="BB46">
            <v>0</v>
          </cell>
          <cell r="BC46">
            <v>0</v>
          </cell>
          <cell r="BD46">
            <v>109114.27619794433</v>
          </cell>
          <cell r="BE46">
            <v>0</v>
          </cell>
          <cell r="BF46">
            <v>0</v>
          </cell>
          <cell r="BG46">
            <v>6735.7999999999993</v>
          </cell>
          <cell r="BH46">
            <v>28060</v>
          </cell>
          <cell r="BI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109114.27619794433</v>
          </cell>
          <cell r="BT46">
            <v>0</v>
          </cell>
          <cell r="BU46">
            <v>0</v>
          </cell>
          <cell r="BV46">
            <v>0</v>
          </cell>
          <cell r="CA46">
            <v>0</v>
          </cell>
          <cell r="CB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O46">
            <v>0</v>
          </cell>
          <cell r="CU46">
            <v>0</v>
          </cell>
          <cell r="CX46">
            <v>0</v>
          </cell>
        </row>
        <row r="47">
          <cell r="G47">
            <v>173177.12015668923</v>
          </cell>
          <cell r="H47">
            <v>109114.27619794433</v>
          </cell>
          <cell r="I47">
            <v>266750.91829770955</v>
          </cell>
          <cell r="J47">
            <v>0</v>
          </cell>
          <cell r="K47">
            <v>0</v>
          </cell>
          <cell r="L47">
            <v>81577.320156689224</v>
          </cell>
          <cell r="M47">
            <v>59319.676384927567</v>
          </cell>
          <cell r="N47">
            <v>84807.120131362375</v>
          </cell>
          <cell r="O47">
            <v>0</v>
          </cell>
          <cell r="P47">
            <v>0</v>
          </cell>
          <cell r="R47">
            <v>69375.836746740591</v>
          </cell>
          <cell r="S47">
            <v>54629.386746740587</v>
          </cell>
          <cell r="T47">
            <v>146876.21024022176</v>
          </cell>
          <cell r="U47">
            <v>109114.27619794433</v>
          </cell>
          <cell r="V47">
            <v>109114.27619794433</v>
          </cell>
          <cell r="W47">
            <v>109114.27619794433</v>
          </cell>
          <cell r="X47">
            <v>109114.27619794433</v>
          </cell>
          <cell r="Y47">
            <v>272785.69049486064</v>
          </cell>
          <cell r="Z47">
            <v>109114.27619794433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327342.82859383302</v>
          </cell>
          <cell r="AF47">
            <v>103207.87915478271</v>
          </cell>
          <cell r="AG47">
            <v>436457.10479177732</v>
          </cell>
          <cell r="AH47">
            <v>137610.50553971028</v>
          </cell>
          <cell r="AI47">
            <v>545571.38098972163</v>
          </cell>
          <cell r="AJ47">
            <v>654685.65718766605</v>
          </cell>
          <cell r="AK47">
            <v>545571.38098972163</v>
          </cell>
          <cell r="AL47">
            <v>545571.38098972163</v>
          </cell>
          <cell r="AM47">
            <v>545571.38098972163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54557.138098972166</v>
          </cell>
          <cell r="AY47">
            <v>109114.27619794433</v>
          </cell>
          <cell r="AZ47">
            <v>545571.38098972163</v>
          </cell>
          <cell r="BA47">
            <v>0</v>
          </cell>
          <cell r="BB47">
            <v>0</v>
          </cell>
          <cell r="BC47">
            <v>0</v>
          </cell>
          <cell r="BD47">
            <v>109114.27619794433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CA47">
            <v>0</v>
          </cell>
          <cell r="CB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O47">
            <v>0</v>
          </cell>
          <cell r="CU47">
            <v>0</v>
          </cell>
          <cell r="CX47">
            <v>0</v>
          </cell>
        </row>
        <row r="48">
          <cell r="G48">
            <v>173177.12015668923</v>
          </cell>
          <cell r="H48">
            <v>109114.27619794433</v>
          </cell>
          <cell r="I48">
            <v>168474.26418802707</v>
          </cell>
          <cell r="J48">
            <v>109114.27619794433</v>
          </cell>
          <cell r="K48">
            <v>0</v>
          </cell>
          <cell r="L48">
            <v>81577.320156689224</v>
          </cell>
          <cell r="M48">
            <v>59319.676384927567</v>
          </cell>
          <cell r="N48">
            <v>0</v>
          </cell>
          <cell r="O48">
            <v>0</v>
          </cell>
          <cell r="P48">
            <v>0</v>
          </cell>
          <cell r="R48">
            <v>69375.836746740591</v>
          </cell>
          <cell r="S48">
            <v>54629.386746740587</v>
          </cell>
          <cell r="T48">
            <v>146876.21024022176</v>
          </cell>
          <cell r="U48">
            <v>109114.27619794433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654685.65718766605</v>
          </cell>
          <cell r="AO48">
            <v>589217.09146889939</v>
          </cell>
          <cell r="AP48">
            <v>491014.24289074948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0</v>
          </cell>
          <cell r="AX48">
            <v>109114.27619794433</v>
          </cell>
          <cell r="AY48">
            <v>218228.55239588866</v>
          </cell>
          <cell r="AZ48">
            <v>872914.20958355465</v>
          </cell>
          <cell r="BA48">
            <v>103207.87915478271</v>
          </cell>
          <cell r="BB48">
            <v>0</v>
          </cell>
          <cell r="BC48">
            <v>0</v>
          </cell>
          <cell r="BD48">
            <v>14879.219481537863</v>
          </cell>
          <cell r="BE48">
            <v>0</v>
          </cell>
          <cell r="BF48">
            <v>0</v>
          </cell>
          <cell r="BG48">
            <v>374.89999999999964</v>
          </cell>
          <cell r="BH48">
            <v>11224</v>
          </cell>
          <cell r="BI48">
            <v>6734</v>
          </cell>
          <cell r="BP48">
            <v>0</v>
          </cell>
          <cell r="BQ48">
            <v>0</v>
          </cell>
          <cell r="BR48">
            <v>140395.22015668923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CA48">
            <v>0</v>
          </cell>
          <cell r="CB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218228.55239588866</v>
          </cell>
          <cell r="CJ48">
            <v>0</v>
          </cell>
          <cell r="CO48">
            <v>0</v>
          </cell>
          <cell r="CU48">
            <v>0</v>
          </cell>
          <cell r="CX48">
            <v>0</v>
          </cell>
        </row>
        <row r="49">
          <cell r="G49">
            <v>173177.12015668923</v>
          </cell>
          <cell r="H49">
            <v>109114.27619794433</v>
          </cell>
          <cell r="I49">
            <v>140395.22015668923</v>
          </cell>
          <cell r="J49">
            <v>109114.27619794433</v>
          </cell>
          <cell r="K49">
            <v>0</v>
          </cell>
          <cell r="L49">
            <v>40788.660078344612</v>
          </cell>
          <cell r="M49">
            <v>59319.676384927567</v>
          </cell>
          <cell r="N49">
            <v>0</v>
          </cell>
          <cell r="O49">
            <v>0</v>
          </cell>
          <cell r="P49">
            <v>0</v>
          </cell>
          <cell r="Q49">
            <v>62573.586746740584</v>
          </cell>
          <cell r="R49">
            <v>69375.836746740591</v>
          </cell>
          <cell r="S49">
            <v>54629.386746740587</v>
          </cell>
          <cell r="T49">
            <v>146876.21024022176</v>
          </cell>
          <cell r="U49">
            <v>54557.138098972166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491014.24289074948</v>
          </cell>
          <cell r="AO49">
            <v>491014.24289074948</v>
          </cell>
          <cell r="AP49">
            <v>469191.38765116059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109114.27619794433</v>
          </cell>
          <cell r="AY49">
            <v>327342.82859383302</v>
          </cell>
          <cell r="AZ49">
            <v>654685.65718766605</v>
          </cell>
          <cell r="BA49">
            <v>68805.252769855142</v>
          </cell>
          <cell r="BB49">
            <v>48063.47638492757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P49">
            <v>0</v>
          </cell>
          <cell r="BQ49">
            <v>109114.27619794433</v>
          </cell>
          <cell r="BR49">
            <v>140395.22015668923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CA49">
            <v>0</v>
          </cell>
          <cell r="CB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218228.55239588866</v>
          </cell>
          <cell r="CJ49">
            <v>0</v>
          </cell>
          <cell r="CO49">
            <v>0</v>
          </cell>
          <cell r="CU49">
            <v>0</v>
          </cell>
          <cell r="CX49">
            <v>0</v>
          </cell>
        </row>
        <row r="50">
          <cell r="G50">
            <v>173177.12015668923</v>
          </cell>
          <cell r="H50">
            <v>109114.27619794433</v>
          </cell>
          <cell r="I50">
            <v>252711.39628204063</v>
          </cell>
          <cell r="J50">
            <v>152759.98667712204</v>
          </cell>
          <cell r="K50">
            <v>0</v>
          </cell>
          <cell r="L50">
            <v>81577.320156689224</v>
          </cell>
          <cell r="M50">
            <v>59319.676384927567</v>
          </cell>
          <cell r="N50">
            <v>62489.456938898591</v>
          </cell>
          <cell r="O50">
            <v>0</v>
          </cell>
          <cell r="P50">
            <v>0</v>
          </cell>
          <cell r="Q50">
            <v>62573.586746740584</v>
          </cell>
          <cell r="R50">
            <v>69375.836746740591</v>
          </cell>
          <cell r="S50">
            <v>54629.386746740587</v>
          </cell>
          <cell r="T50">
            <v>195834.94698696234</v>
          </cell>
          <cell r="U50">
            <v>109114.27619794433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1003851.3410210877</v>
          </cell>
          <cell r="AO50">
            <v>992939.91340129334</v>
          </cell>
          <cell r="AP50">
            <v>720154.22290643258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W50">
            <v>0</v>
          </cell>
          <cell r="AX50">
            <v>109114.27619794433</v>
          </cell>
          <cell r="AY50">
            <v>436457.10479177732</v>
          </cell>
          <cell r="AZ50">
            <v>982028.48578149895</v>
          </cell>
          <cell r="BA50">
            <v>137610.50553971028</v>
          </cell>
          <cell r="BB50">
            <v>96126.952769855139</v>
          </cell>
          <cell r="BC50">
            <v>0</v>
          </cell>
          <cell r="BD50">
            <v>109114.27619794433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P50">
            <v>0</v>
          </cell>
          <cell r="BQ50">
            <v>109114.27619794433</v>
          </cell>
          <cell r="BR50">
            <v>140395.22015668923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CA50">
            <v>0</v>
          </cell>
          <cell r="CB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327342.82859383302</v>
          </cell>
          <cell r="CJ50">
            <v>0</v>
          </cell>
          <cell r="CO50">
            <v>0</v>
          </cell>
          <cell r="CU50">
            <v>0</v>
          </cell>
          <cell r="CX50">
            <v>0</v>
          </cell>
        </row>
        <row r="51">
          <cell r="G51">
            <v>173177.12015668923</v>
          </cell>
          <cell r="H51">
            <v>109114.27619794433</v>
          </cell>
          <cell r="I51">
            <v>112316.1761253514</v>
          </cell>
          <cell r="J51">
            <v>0</v>
          </cell>
          <cell r="K51">
            <v>0</v>
          </cell>
          <cell r="L51">
            <v>81577.320156689224</v>
          </cell>
          <cell r="M51">
            <v>59319.676384927567</v>
          </cell>
          <cell r="N51">
            <v>0</v>
          </cell>
          <cell r="O51">
            <v>0</v>
          </cell>
          <cell r="P51">
            <v>0</v>
          </cell>
          <cell r="R51">
            <v>69375.836746740591</v>
          </cell>
          <cell r="S51">
            <v>54629.386746740587</v>
          </cell>
          <cell r="T51">
            <v>97917.473493481171</v>
          </cell>
          <cell r="U51">
            <v>109114.27619794433</v>
          </cell>
          <cell r="V51">
            <v>109114.27619794433</v>
          </cell>
          <cell r="W51">
            <v>109114.27619794433</v>
          </cell>
          <cell r="X51">
            <v>109114.27619794433</v>
          </cell>
          <cell r="Y51">
            <v>4.9476511776447296E-10</v>
          </cell>
          <cell r="Z51">
            <v>163671.41429691651</v>
          </cell>
          <cell r="AA51">
            <v>218228.55239588866</v>
          </cell>
          <cell r="AB51">
            <v>68805.252769855142</v>
          </cell>
          <cell r="AC51">
            <v>109114.27619794433</v>
          </cell>
          <cell r="AD51">
            <v>34402.626384927571</v>
          </cell>
          <cell r="AE51">
            <v>218228.55239588866</v>
          </cell>
          <cell r="AF51">
            <v>68805.252769855142</v>
          </cell>
          <cell r="AG51">
            <v>218228.55239588866</v>
          </cell>
          <cell r="AH51">
            <v>68805.252769855142</v>
          </cell>
          <cell r="AI51">
            <v>218228.55239588866</v>
          </cell>
          <cell r="AJ51">
            <v>218228.55239588866</v>
          </cell>
          <cell r="AK51">
            <v>218228.55239588866</v>
          </cell>
          <cell r="AL51">
            <v>218228.55239588866</v>
          </cell>
          <cell r="AM51">
            <v>218228.55239588866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W51">
            <v>0</v>
          </cell>
          <cell r="AX51">
            <v>109114.27619794433</v>
          </cell>
          <cell r="AY51">
            <v>109114.27619794433</v>
          </cell>
          <cell r="AZ51">
            <v>436457.10479177732</v>
          </cell>
          <cell r="BA51">
            <v>0</v>
          </cell>
          <cell r="BB51">
            <v>0</v>
          </cell>
          <cell r="BC51">
            <v>0</v>
          </cell>
          <cell r="BD51">
            <v>24798.699135896437</v>
          </cell>
          <cell r="BE51">
            <v>0</v>
          </cell>
          <cell r="BF51">
            <v>0</v>
          </cell>
          <cell r="BG51">
            <v>12346.9</v>
          </cell>
          <cell r="BH51">
            <v>22448</v>
          </cell>
          <cell r="BI51">
            <v>6734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CA51">
            <v>0</v>
          </cell>
          <cell r="CB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O51">
            <v>0</v>
          </cell>
          <cell r="CU51">
            <v>0</v>
          </cell>
          <cell r="CX51">
            <v>0</v>
          </cell>
        </row>
        <row r="52">
          <cell r="G52">
            <v>173177.12015668923</v>
          </cell>
          <cell r="H52">
            <v>109114.27619794433</v>
          </cell>
          <cell r="I52">
            <v>140395.22015668923</v>
          </cell>
          <cell r="J52">
            <v>0</v>
          </cell>
          <cell r="K52">
            <v>0</v>
          </cell>
          <cell r="L52">
            <v>81577.320156689224</v>
          </cell>
          <cell r="M52">
            <v>59319.676384927567</v>
          </cell>
          <cell r="N52">
            <v>44635.326384927568</v>
          </cell>
          <cell r="O52">
            <v>0</v>
          </cell>
          <cell r="P52">
            <v>0</v>
          </cell>
          <cell r="R52">
            <v>69375.836746740591</v>
          </cell>
          <cell r="S52">
            <v>54629.386746740587</v>
          </cell>
          <cell r="T52">
            <v>97917.473493481171</v>
          </cell>
          <cell r="U52">
            <v>109114.27619794433</v>
          </cell>
          <cell r="V52">
            <v>109114.27619794433</v>
          </cell>
          <cell r="W52">
            <v>109114.27619794433</v>
          </cell>
          <cell r="X52">
            <v>109114.27619794433</v>
          </cell>
          <cell r="Y52">
            <v>163671.41429691651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218228.55239588866</v>
          </cell>
          <cell r="AF52">
            <v>68805.252769855142</v>
          </cell>
          <cell r="AG52">
            <v>327342.82859383302</v>
          </cell>
          <cell r="AH52">
            <v>103207.87915478271</v>
          </cell>
          <cell r="AI52">
            <v>327342.82859383302</v>
          </cell>
          <cell r="AJ52">
            <v>327342.82859383302</v>
          </cell>
          <cell r="AK52">
            <v>327342.82859383302</v>
          </cell>
          <cell r="AL52">
            <v>327342.82859383302</v>
          </cell>
          <cell r="AM52">
            <v>327342.82859383302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0</v>
          </cell>
          <cell r="AX52">
            <v>54557.138098972166</v>
          </cell>
          <cell r="AY52">
            <v>109114.27619794433</v>
          </cell>
          <cell r="AZ52">
            <v>327342.82859383302</v>
          </cell>
          <cell r="BA52">
            <v>0</v>
          </cell>
          <cell r="BB52">
            <v>0</v>
          </cell>
          <cell r="BC52">
            <v>0</v>
          </cell>
          <cell r="BD52">
            <v>109114.27619794433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CA52">
            <v>0</v>
          </cell>
          <cell r="CB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O52">
            <v>0</v>
          </cell>
          <cell r="CU52">
            <v>0</v>
          </cell>
          <cell r="CX52">
            <v>0</v>
          </cell>
        </row>
        <row r="53">
          <cell r="G53">
            <v>173177.12015668923</v>
          </cell>
          <cell r="H53">
            <v>109114.27619794433</v>
          </cell>
          <cell r="I53">
            <v>126355.69814102032</v>
          </cell>
          <cell r="J53">
            <v>0</v>
          </cell>
          <cell r="K53">
            <v>0</v>
          </cell>
          <cell r="L53">
            <v>81577.320156689224</v>
          </cell>
          <cell r="M53">
            <v>59319.676384927567</v>
          </cell>
          <cell r="N53">
            <v>0</v>
          </cell>
          <cell r="O53">
            <v>0</v>
          </cell>
          <cell r="P53">
            <v>0</v>
          </cell>
          <cell r="R53">
            <v>69375.836746740591</v>
          </cell>
          <cell r="S53">
            <v>54629.386746740587</v>
          </cell>
          <cell r="T53">
            <v>97917.473493481171</v>
          </cell>
          <cell r="U53">
            <v>109114.27619794433</v>
          </cell>
          <cell r="V53">
            <v>109114.27619794433</v>
          </cell>
          <cell r="W53">
            <v>109114.27619794433</v>
          </cell>
          <cell r="X53">
            <v>109114.27619794433</v>
          </cell>
          <cell r="Y53">
            <v>0</v>
          </cell>
          <cell r="AA53">
            <v>218228.55239588866</v>
          </cell>
          <cell r="AB53">
            <v>68805.252769855142</v>
          </cell>
          <cell r="AC53">
            <v>0</v>
          </cell>
          <cell r="AD53">
            <v>0</v>
          </cell>
          <cell r="AE53">
            <v>218228.55239588866</v>
          </cell>
          <cell r="AF53">
            <v>68805.252769855142</v>
          </cell>
          <cell r="AG53">
            <v>327342.82859383302</v>
          </cell>
          <cell r="AH53">
            <v>103207.87915478271</v>
          </cell>
          <cell r="AI53">
            <v>218228.55239588866</v>
          </cell>
          <cell r="AJ53">
            <v>327342.82859383302</v>
          </cell>
          <cell r="AK53">
            <v>327342.82859383302</v>
          </cell>
          <cell r="AL53">
            <v>218228.55239588866</v>
          </cell>
          <cell r="AM53">
            <v>327342.82859383302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W53">
            <v>0</v>
          </cell>
          <cell r="AX53">
            <v>109114.27619794433</v>
          </cell>
          <cell r="AY53">
            <v>218228.55239588866</v>
          </cell>
          <cell r="AZ53">
            <v>436457.10479177732</v>
          </cell>
          <cell r="BA53">
            <v>34402.626384927571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18332.900000000001</v>
          </cell>
          <cell r="BH53">
            <v>28060</v>
          </cell>
          <cell r="BI53">
            <v>6734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CA53">
            <v>0</v>
          </cell>
          <cell r="CB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O53">
            <v>0</v>
          </cell>
          <cell r="CU53">
            <v>0</v>
          </cell>
          <cell r="CX53">
            <v>0</v>
          </cell>
        </row>
        <row r="54">
          <cell r="G54">
            <v>173177.12015668923</v>
          </cell>
          <cell r="H54">
            <v>109114.27619794433</v>
          </cell>
          <cell r="I54">
            <v>0</v>
          </cell>
          <cell r="J54">
            <v>0</v>
          </cell>
          <cell r="K54">
            <v>0</v>
          </cell>
          <cell r="L54">
            <v>40788.660078344612</v>
          </cell>
          <cell r="M54">
            <v>59319.676384927567</v>
          </cell>
          <cell r="N54">
            <v>0</v>
          </cell>
          <cell r="O54">
            <v>0</v>
          </cell>
          <cell r="P54">
            <v>0</v>
          </cell>
          <cell r="R54">
            <v>69375.836746740591</v>
          </cell>
          <cell r="S54">
            <v>54629.386746740587</v>
          </cell>
          <cell r="T54">
            <v>48958.736746740586</v>
          </cell>
          <cell r="U54">
            <v>54557.138098972166</v>
          </cell>
          <cell r="V54">
            <v>109114.27619794433</v>
          </cell>
          <cell r="W54">
            <v>109114.27619794433</v>
          </cell>
          <cell r="X54">
            <v>109114.27619794433</v>
          </cell>
          <cell r="Y54">
            <v>0</v>
          </cell>
          <cell r="AA54">
            <v>218228.55239588866</v>
          </cell>
          <cell r="AB54">
            <v>68805.252769855142</v>
          </cell>
          <cell r="AC54">
            <v>0</v>
          </cell>
          <cell r="AD54">
            <v>0</v>
          </cell>
          <cell r="AE54">
            <v>327342.82859383302</v>
          </cell>
          <cell r="AF54">
            <v>103207.87915478271</v>
          </cell>
          <cell r="AG54">
            <v>218228.55239588866</v>
          </cell>
          <cell r="AH54">
            <v>68805.252769855142</v>
          </cell>
          <cell r="AI54">
            <v>218228.55239588866</v>
          </cell>
          <cell r="AJ54">
            <v>218228.55239588866</v>
          </cell>
          <cell r="AK54">
            <v>218228.55239588866</v>
          </cell>
          <cell r="AL54">
            <v>218228.55239588866</v>
          </cell>
          <cell r="AM54">
            <v>218228.55239588866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W54">
            <v>0</v>
          </cell>
          <cell r="AX54">
            <v>109114.27619794433</v>
          </cell>
          <cell r="AY54">
            <v>109114.27619794433</v>
          </cell>
          <cell r="AZ54">
            <v>327342.82859383302</v>
          </cell>
          <cell r="BA54">
            <v>0</v>
          </cell>
          <cell r="BB54">
            <v>0</v>
          </cell>
          <cell r="BC54">
            <v>0</v>
          </cell>
          <cell r="BD54">
            <v>14879.219481537863</v>
          </cell>
          <cell r="BE54">
            <v>0</v>
          </cell>
          <cell r="BF54">
            <v>0</v>
          </cell>
          <cell r="BG54">
            <v>12346.9</v>
          </cell>
          <cell r="BH54">
            <v>22448</v>
          </cell>
          <cell r="BI54">
            <v>6734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140395.22015668923</v>
          </cell>
          <cell r="BV54">
            <v>0</v>
          </cell>
          <cell r="CA54">
            <v>0</v>
          </cell>
          <cell r="CB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O54">
            <v>0</v>
          </cell>
          <cell r="CU54">
            <v>0</v>
          </cell>
          <cell r="CX54">
            <v>0</v>
          </cell>
        </row>
        <row r="55">
          <cell r="G55">
            <v>173177.12015668923</v>
          </cell>
          <cell r="H55">
            <v>109114.27619794433</v>
          </cell>
          <cell r="I55">
            <v>98276.654109682451</v>
          </cell>
          <cell r="J55">
            <v>109114.27619794433</v>
          </cell>
          <cell r="K55">
            <v>0</v>
          </cell>
          <cell r="L55">
            <v>40788.660078344612</v>
          </cell>
          <cell r="M55">
            <v>59319.676384927567</v>
          </cell>
          <cell r="N55">
            <v>0</v>
          </cell>
          <cell r="O55">
            <v>0</v>
          </cell>
          <cell r="P55">
            <v>0</v>
          </cell>
          <cell r="Q55">
            <v>62573.586746740584</v>
          </cell>
          <cell r="R55">
            <v>69375.836746740591</v>
          </cell>
          <cell r="S55">
            <v>54629.386746740587</v>
          </cell>
          <cell r="T55">
            <v>146876.21024022176</v>
          </cell>
          <cell r="U55">
            <v>54557.138098972166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360077.11145321629</v>
          </cell>
          <cell r="AO55">
            <v>403722.82193239406</v>
          </cell>
          <cell r="AP55">
            <v>349165.68383342191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W55">
            <v>0</v>
          </cell>
          <cell r="AX55">
            <v>109114.27619794433</v>
          </cell>
          <cell r="AY55">
            <v>327342.82859383302</v>
          </cell>
          <cell r="AZ55">
            <v>654685.65718766605</v>
          </cell>
          <cell r="BA55">
            <v>68805.252769855142</v>
          </cell>
          <cell r="BB55">
            <v>96126.952769855139</v>
          </cell>
          <cell r="BC55">
            <v>0</v>
          </cell>
          <cell r="BD55">
            <v>9919.4796543585762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P55">
            <v>0</v>
          </cell>
          <cell r="BQ55">
            <v>0</v>
          </cell>
          <cell r="BR55">
            <v>140395.22015668923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CA55">
            <v>0</v>
          </cell>
          <cell r="CB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218228.55239588866</v>
          </cell>
          <cell r="CJ55">
            <v>0</v>
          </cell>
          <cell r="CO55">
            <v>0</v>
          </cell>
          <cell r="CU55">
            <v>0</v>
          </cell>
          <cell r="CX55">
            <v>0</v>
          </cell>
        </row>
        <row r="56">
          <cell r="G56">
            <v>173177.12015668923</v>
          </cell>
          <cell r="H56">
            <v>109114.27619794433</v>
          </cell>
          <cell r="I56">
            <v>322909.00636038522</v>
          </cell>
          <cell r="J56">
            <v>0</v>
          </cell>
          <cell r="K56">
            <v>0</v>
          </cell>
          <cell r="L56">
            <v>81577.320156689224</v>
          </cell>
          <cell r="M56">
            <v>59319.676384927567</v>
          </cell>
          <cell r="N56">
            <v>102661.25068533341</v>
          </cell>
          <cell r="O56">
            <v>0</v>
          </cell>
          <cell r="P56">
            <v>0</v>
          </cell>
          <cell r="R56">
            <v>69375.836746740591</v>
          </cell>
          <cell r="S56">
            <v>54629.386746740587</v>
          </cell>
          <cell r="T56">
            <v>195834.94698696234</v>
          </cell>
          <cell r="U56">
            <v>109114.27619794433</v>
          </cell>
          <cell r="V56">
            <v>109114.27619794433</v>
          </cell>
          <cell r="W56">
            <v>109114.27619794433</v>
          </cell>
          <cell r="X56">
            <v>109114.27619794433</v>
          </cell>
          <cell r="Y56">
            <v>381899.96669280471</v>
          </cell>
          <cell r="Z56">
            <v>109114.27619794433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436457.10479177732</v>
          </cell>
          <cell r="AF56">
            <v>137610.50553971028</v>
          </cell>
          <cell r="AG56">
            <v>654685.65718766605</v>
          </cell>
          <cell r="AH56">
            <v>206415.75830956543</v>
          </cell>
          <cell r="AI56">
            <v>763799.93338561035</v>
          </cell>
          <cell r="AJ56">
            <v>654685.65718766605</v>
          </cell>
          <cell r="AK56">
            <v>654685.65718766605</v>
          </cell>
          <cell r="AL56">
            <v>545571.38098972163</v>
          </cell>
          <cell r="AM56">
            <v>545571.38098972163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W56">
            <v>0</v>
          </cell>
          <cell r="AX56">
            <v>109114.27619794433</v>
          </cell>
          <cell r="AY56">
            <v>218228.55239588866</v>
          </cell>
          <cell r="AZ56">
            <v>654685.65718766605</v>
          </cell>
          <cell r="BA56">
            <v>103207.87915478271</v>
          </cell>
          <cell r="BB56">
            <v>0</v>
          </cell>
          <cell r="BC56">
            <v>0</v>
          </cell>
          <cell r="BD56">
            <v>327342.82859383302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CA56">
            <v>0</v>
          </cell>
          <cell r="CB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O56">
            <v>0</v>
          </cell>
          <cell r="CU56">
            <v>0</v>
          </cell>
          <cell r="CX56">
            <v>0</v>
          </cell>
        </row>
        <row r="57">
          <cell r="G57">
            <v>173177.12015668923</v>
          </cell>
          <cell r="H57">
            <v>109114.27619794433</v>
          </cell>
          <cell r="I57">
            <v>126355.69814102032</v>
          </cell>
          <cell r="J57">
            <v>0</v>
          </cell>
          <cell r="K57">
            <v>0</v>
          </cell>
          <cell r="L57">
            <v>81577.320156689224</v>
          </cell>
          <cell r="M57">
            <v>59319.676384927567</v>
          </cell>
          <cell r="N57">
            <v>0</v>
          </cell>
          <cell r="O57">
            <v>0</v>
          </cell>
          <cell r="P57">
            <v>0</v>
          </cell>
          <cell r="R57">
            <v>69375.836746740591</v>
          </cell>
          <cell r="S57">
            <v>54629.386746740587</v>
          </cell>
          <cell r="T57">
            <v>146876.21024022176</v>
          </cell>
          <cell r="U57">
            <v>109114.27619794433</v>
          </cell>
          <cell r="V57">
            <v>109114.27619794433</v>
          </cell>
          <cell r="W57">
            <v>109114.27619794433</v>
          </cell>
          <cell r="X57">
            <v>109114.27619794433</v>
          </cell>
          <cell r="Y57">
            <v>0</v>
          </cell>
          <cell r="AA57">
            <v>109114.27619794433</v>
          </cell>
          <cell r="AB57">
            <v>34402.626384927571</v>
          </cell>
          <cell r="AC57">
            <v>327342.82859383302</v>
          </cell>
          <cell r="AD57">
            <v>103207.87915478271</v>
          </cell>
          <cell r="AE57">
            <v>109114.27619794433</v>
          </cell>
          <cell r="AF57">
            <v>34402.626384927571</v>
          </cell>
          <cell r="AG57">
            <v>327342.82859383302</v>
          </cell>
          <cell r="AH57">
            <v>103207.87915478271</v>
          </cell>
          <cell r="AI57">
            <v>218228.55239588866</v>
          </cell>
          <cell r="AJ57">
            <v>327342.82859383302</v>
          </cell>
          <cell r="AK57">
            <v>218228.55239588866</v>
          </cell>
          <cell r="AL57">
            <v>327342.82859383302</v>
          </cell>
          <cell r="AM57">
            <v>218228.55239588866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W57">
            <v>0</v>
          </cell>
          <cell r="AX57">
            <v>109114.27619794433</v>
          </cell>
          <cell r="AY57">
            <v>109114.27619794433</v>
          </cell>
          <cell r="AZ57">
            <v>436457.10479177732</v>
          </cell>
          <cell r="BA57">
            <v>137610.50553971028</v>
          </cell>
          <cell r="BB57">
            <v>0</v>
          </cell>
          <cell r="BC57">
            <v>0</v>
          </cell>
          <cell r="BD57">
            <v>109114.27619794433</v>
          </cell>
          <cell r="BE57">
            <v>0</v>
          </cell>
          <cell r="BF57">
            <v>0</v>
          </cell>
          <cell r="BG57">
            <v>12721.8</v>
          </cell>
          <cell r="BH57">
            <v>33672</v>
          </cell>
          <cell r="BI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CA57">
            <v>0</v>
          </cell>
          <cell r="CB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O57">
            <v>0</v>
          </cell>
          <cell r="CU57">
            <v>0</v>
          </cell>
          <cell r="CX57">
            <v>0</v>
          </cell>
        </row>
        <row r="58">
          <cell r="G58">
            <v>173177.12015668923</v>
          </cell>
          <cell r="H58">
            <v>109114.27619794433</v>
          </cell>
          <cell r="I58">
            <v>112316.1761253514</v>
          </cell>
          <cell r="J58">
            <v>0</v>
          </cell>
          <cell r="K58">
            <v>0</v>
          </cell>
          <cell r="L58">
            <v>81577.320156689224</v>
          </cell>
          <cell r="M58">
            <v>59319.676384927567</v>
          </cell>
          <cell r="N58">
            <v>0</v>
          </cell>
          <cell r="O58">
            <v>0</v>
          </cell>
          <cell r="P58">
            <v>0</v>
          </cell>
          <cell r="R58">
            <v>69375.836746740591</v>
          </cell>
          <cell r="S58">
            <v>54629.386746740587</v>
          </cell>
          <cell r="T58">
            <v>97917.473493481171</v>
          </cell>
          <cell r="U58">
            <v>109114.27619794433</v>
          </cell>
          <cell r="V58">
            <v>109114.27619794433</v>
          </cell>
          <cell r="W58">
            <v>109114.27619794433</v>
          </cell>
          <cell r="X58">
            <v>109114.27619794433</v>
          </cell>
          <cell r="Y58">
            <v>0</v>
          </cell>
          <cell r="AA58">
            <v>327342.82859383302</v>
          </cell>
          <cell r="AB58">
            <v>103207.87915478271</v>
          </cell>
          <cell r="AC58">
            <v>0</v>
          </cell>
          <cell r="AD58">
            <v>0</v>
          </cell>
          <cell r="AE58">
            <v>218228.55239588866</v>
          </cell>
          <cell r="AF58">
            <v>68805.252769855142</v>
          </cell>
          <cell r="AG58">
            <v>218228.55239588866</v>
          </cell>
          <cell r="AH58">
            <v>68805.252769855142</v>
          </cell>
          <cell r="AI58">
            <v>218228.55239588866</v>
          </cell>
          <cell r="AJ58">
            <v>218228.55239588866</v>
          </cell>
          <cell r="AK58">
            <v>109114.27619794433</v>
          </cell>
          <cell r="AL58">
            <v>218228.55239588866</v>
          </cell>
          <cell r="AM58">
            <v>218228.55239588866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W58">
            <v>0</v>
          </cell>
          <cell r="AX58">
            <v>109114.27619794433</v>
          </cell>
          <cell r="AY58">
            <v>218228.55239588866</v>
          </cell>
          <cell r="AZ58">
            <v>982028.48578149895</v>
          </cell>
          <cell r="BA58">
            <v>344026.26384927571</v>
          </cell>
          <cell r="BB58">
            <v>96126.952769855139</v>
          </cell>
          <cell r="BC58">
            <v>105202</v>
          </cell>
          <cell r="BD58">
            <v>109114.27619794433</v>
          </cell>
          <cell r="BE58">
            <v>0</v>
          </cell>
          <cell r="BF58">
            <v>0</v>
          </cell>
          <cell r="BG58">
            <v>12346.9</v>
          </cell>
          <cell r="BH58">
            <v>22448</v>
          </cell>
          <cell r="BI58">
            <v>6734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CA58">
            <v>0</v>
          </cell>
          <cell r="CB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O58">
            <v>0</v>
          </cell>
          <cell r="CU58">
            <v>0</v>
          </cell>
          <cell r="CX58">
            <v>0</v>
          </cell>
        </row>
        <row r="59">
          <cell r="G59">
            <v>173177.12015668923</v>
          </cell>
          <cell r="H59">
            <v>109114.27619794433</v>
          </cell>
          <cell r="I59">
            <v>42118.566047006767</v>
          </cell>
          <cell r="J59">
            <v>109114.27619794433</v>
          </cell>
          <cell r="K59">
            <v>0</v>
          </cell>
          <cell r="L59">
            <v>81577.320156689224</v>
          </cell>
          <cell r="M59">
            <v>59319.676384927567</v>
          </cell>
          <cell r="N59">
            <v>0</v>
          </cell>
          <cell r="O59">
            <v>0</v>
          </cell>
          <cell r="P59">
            <v>0</v>
          </cell>
          <cell r="R59">
            <v>69375.836746740591</v>
          </cell>
          <cell r="S59">
            <v>54629.386746740587</v>
          </cell>
          <cell r="T59">
            <v>97917.473493481171</v>
          </cell>
          <cell r="U59">
            <v>109114.27619794433</v>
          </cell>
          <cell r="V59">
            <v>109114.27619794433</v>
          </cell>
          <cell r="W59">
            <v>109114.27619794433</v>
          </cell>
          <cell r="X59">
            <v>109114.27619794433</v>
          </cell>
          <cell r="Y59">
            <v>0</v>
          </cell>
          <cell r="AA59">
            <v>109114.27619794433</v>
          </cell>
          <cell r="AB59">
            <v>34402.626384927571</v>
          </cell>
          <cell r="AC59">
            <v>218228.55239588866</v>
          </cell>
          <cell r="AD59">
            <v>68805.252769855142</v>
          </cell>
          <cell r="AE59">
            <v>109114.27619794433</v>
          </cell>
          <cell r="AF59">
            <v>34402.626384927571</v>
          </cell>
          <cell r="AG59">
            <v>218228.55239588866</v>
          </cell>
          <cell r="AH59">
            <v>68805.252769855142</v>
          </cell>
          <cell r="AI59">
            <v>218228.55239588866</v>
          </cell>
          <cell r="AJ59">
            <v>218228.55239588866</v>
          </cell>
          <cell r="AK59">
            <v>327342.82859383302</v>
          </cell>
          <cell r="AL59">
            <v>218228.55239588866</v>
          </cell>
          <cell r="AM59">
            <v>109114.27619794433</v>
          </cell>
          <cell r="AN59">
            <v>0</v>
          </cell>
          <cell r="AO59">
            <v>196405.69715629981</v>
          </cell>
          <cell r="AP59">
            <v>207317.12477609422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109114.27619794433</v>
          </cell>
          <cell r="AY59">
            <v>327342.82859383302</v>
          </cell>
          <cell r="AZ59">
            <v>872914.20958355465</v>
          </cell>
          <cell r="BA59">
            <v>137610.50553971028</v>
          </cell>
          <cell r="BB59">
            <v>144190.4291547827</v>
          </cell>
          <cell r="BC59">
            <v>0</v>
          </cell>
          <cell r="BD59">
            <v>872914.20958355465</v>
          </cell>
          <cell r="BE59">
            <v>0</v>
          </cell>
          <cell r="BF59">
            <v>109114.27619794433</v>
          </cell>
          <cell r="BG59">
            <v>6735.7999999999993</v>
          </cell>
          <cell r="BH59">
            <v>28060</v>
          </cell>
          <cell r="BI59">
            <v>6734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CA59">
            <v>0</v>
          </cell>
          <cell r="CB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218228.55239588866</v>
          </cell>
          <cell r="CJ59">
            <v>0</v>
          </cell>
          <cell r="CO59">
            <v>0</v>
          </cell>
          <cell r="CU59">
            <v>0</v>
          </cell>
          <cell r="CX59">
            <v>0</v>
          </cell>
        </row>
        <row r="60">
          <cell r="G60">
            <v>173177.12015668923</v>
          </cell>
          <cell r="H60">
            <v>109114.27619794433</v>
          </cell>
          <cell r="I60">
            <v>196553.3082193649</v>
          </cell>
          <cell r="J60">
            <v>109114.27619794433</v>
          </cell>
          <cell r="K60">
            <v>0</v>
          </cell>
          <cell r="L60">
            <v>81577.320156689224</v>
          </cell>
          <cell r="M60">
            <v>59319.676384927567</v>
          </cell>
          <cell r="N60">
            <v>58025.924300405837</v>
          </cell>
          <cell r="O60">
            <v>0</v>
          </cell>
          <cell r="P60">
            <v>0</v>
          </cell>
          <cell r="R60">
            <v>69375.836746740591</v>
          </cell>
          <cell r="S60">
            <v>54629.386746740587</v>
          </cell>
          <cell r="T60">
            <v>146876.21024022176</v>
          </cell>
          <cell r="U60">
            <v>109114.27619794433</v>
          </cell>
          <cell r="V60">
            <v>109114.27619794433</v>
          </cell>
          <cell r="W60">
            <v>109114.27619794433</v>
          </cell>
          <cell r="X60">
            <v>109114.27619794433</v>
          </cell>
          <cell r="Y60">
            <v>163671.41429691651</v>
          </cell>
          <cell r="AA60">
            <v>327342.82859383302</v>
          </cell>
          <cell r="AB60">
            <v>103207.87915478271</v>
          </cell>
          <cell r="AC60">
            <v>0</v>
          </cell>
          <cell r="AD60">
            <v>0</v>
          </cell>
          <cell r="AE60">
            <v>327342.82859383302</v>
          </cell>
          <cell r="AF60">
            <v>103207.87915478271</v>
          </cell>
          <cell r="AG60">
            <v>327342.82859383302</v>
          </cell>
          <cell r="AH60">
            <v>103207.87915478271</v>
          </cell>
          <cell r="AI60">
            <v>327342.82859383302</v>
          </cell>
          <cell r="AJ60">
            <v>327342.82859383302</v>
          </cell>
          <cell r="AK60">
            <v>327342.82859383302</v>
          </cell>
          <cell r="AL60">
            <v>327342.82859383302</v>
          </cell>
          <cell r="AM60">
            <v>218228.55239588866</v>
          </cell>
          <cell r="AN60">
            <v>185494.26953650537</v>
          </cell>
          <cell r="AO60">
            <v>141848.55905732763</v>
          </cell>
          <cell r="AP60">
            <v>109114.27619794433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109114.27619794433</v>
          </cell>
          <cell r="AY60">
            <v>218228.55239588866</v>
          </cell>
          <cell r="AZ60">
            <v>763799.93338561035</v>
          </cell>
          <cell r="BA60">
            <v>34402.626384927571</v>
          </cell>
          <cell r="BB60">
            <v>0</v>
          </cell>
          <cell r="BC60">
            <v>0</v>
          </cell>
          <cell r="BD60">
            <v>44637.658444613589</v>
          </cell>
          <cell r="BE60">
            <v>0</v>
          </cell>
          <cell r="BF60">
            <v>0</v>
          </cell>
          <cell r="BG60">
            <v>12348.5</v>
          </cell>
          <cell r="BH60">
            <v>44896</v>
          </cell>
          <cell r="BI60">
            <v>6734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CA60">
            <v>0</v>
          </cell>
          <cell r="CB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218228.55239588866</v>
          </cell>
          <cell r="CJ60">
            <v>0</v>
          </cell>
          <cell r="CO60">
            <v>0</v>
          </cell>
          <cell r="CU60">
            <v>0</v>
          </cell>
          <cell r="CX60">
            <v>0</v>
          </cell>
        </row>
        <row r="61">
          <cell r="G61">
            <v>173177.12015668923</v>
          </cell>
          <cell r="H61">
            <v>109114.27619794433</v>
          </cell>
          <cell r="I61">
            <v>154434.74217235818</v>
          </cell>
          <cell r="J61">
            <v>0</v>
          </cell>
          <cell r="K61">
            <v>0</v>
          </cell>
          <cell r="L61">
            <v>81577.320156689224</v>
          </cell>
          <cell r="M61">
            <v>59319.676384927567</v>
          </cell>
          <cell r="N61">
            <v>49098.859023420329</v>
          </cell>
          <cell r="O61">
            <v>0</v>
          </cell>
          <cell r="P61">
            <v>0</v>
          </cell>
          <cell r="R61">
            <v>69375.836746740591</v>
          </cell>
          <cell r="S61">
            <v>54629.386746740587</v>
          </cell>
          <cell r="T61">
            <v>97917.473493481171</v>
          </cell>
          <cell r="U61">
            <v>109114.27619794433</v>
          </cell>
          <cell r="V61">
            <v>109114.27619794433</v>
          </cell>
          <cell r="W61">
            <v>109114.27619794433</v>
          </cell>
          <cell r="X61">
            <v>109114.27619794433</v>
          </cell>
          <cell r="Y61">
            <v>163671.41429691651</v>
          </cell>
          <cell r="AA61">
            <v>327342.82859383302</v>
          </cell>
          <cell r="AB61">
            <v>103207.87915478271</v>
          </cell>
          <cell r="AC61">
            <v>0</v>
          </cell>
          <cell r="AD61">
            <v>0</v>
          </cell>
          <cell r="AE61">
            <v>327342.82859383302</v>
          </cell>
          <cell r="AF61">
            <v>103207.87915478271</v>
          </cell>
          <cell r="AG61">
            <v>327342.82859383302</v>
          </cell>
          <cell r="AH61">
            <v>103207.87915478271</v>
          </cell>
          <cell r="AI61">
            <v>327342.82859383302</v>
          </cell>
          <cell r="AJ61">
            <v>327342.82859383302</v>
          </cell>
          <cell r="AK61">
            <v>327342.82859383302</v>
          </cell>
          <cell r="AL61">
            <v>218228.55239588866</v>
          </cell>
          <cell r="AM61">
            <v>327342.82859383302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W61">
            <v>0</v>
          </cell>
          <cell r="AX61">
            <v>109114.27619794433</v>
          </cell>
          <cell r="AY61">
            <v>218228.55239588866</v>
          </cell>
          <cell r="AZ61">
            <v>982028.48578149895</v>
          </cell>
          <cell r="BA61">
            <v>275221.01107942057</v>
          </cell>
          <cell r="BB61">
            <v>0</v>
          </cell>
          <cell r="BC61">
            <v>0</v>
          </cell>
          <cell r="BD61">
            <v>109114.27619794433</v>
          </cell>
          <cell r="BE61">
            <v>0</v>
          </cell>
          <cell r="BF61">
            <v>0</v>
          </cell>
          <cell r="BG61">
            <v>43401.599999999999</v>
          </cell>
          <cell r="BH61">
            <v>84180</v>
          </cell>
          <cell r="BI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CA61">
            <v>0</v>
          </cell>
          <cell r="CB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O61">
            <v>0</v>
          </cell>
          <cell r="CU61">
            <v>0</v>
          </cell>
          <cell r="CX61">
            <v>0</v>
          </cell>
        </row>
        <row r="62">
          <cell r="G62">
            <v>173177.12015668923</v>
          </cell>
          <cell r="H62">
            <v>109114.27619794433</v>
          </cell>
          <cell r="I62">
            <v>126355.69814102032</v>
          </cell>
          <cell r="J62">
            <v>0</v>
          </cell>
          <cell r="K62">
            <v>127926.27765154414</v>
          </cell>
          <cell r="L62">
            <v>40788.660078344612</v>
          </cell>
          <cell r="M62">
            <v>59319.676384927567</v>
          </cell>
          <cell r="N62">
            <v>0</v>
          </cell>
          <cell r="O62">
            <v>50130.026384927565</v>
          </cell>
          <cell r="P62">
            <v>62573.586746740584</v>
          </cell>
          <cell r="R62">
            <v>69375.836746740591</v>
          </cell>
          <cell r="S62">
            <v>54629.386746740587</v>
          </cell>
          <cell r="T62">
            <v>48958.736746740586</v>
          </cell>
          <cell r="U62">
            <v>54557.138098972166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250962.83525527193</v>
          </cell>
          <cell r="AR62">
            <v>272785.69049486081</v>
          </cell>
          <cell r="AS62">
            <v>392811.39431259962</v>
          </cell>
          <cell r="AT62">
            <v>305519.97335424408</v>
          </cell>
          <cell r="AU62">
            <v>0</v>
          </cell>
          <cell r="AW62">
            <v>0</v>
          </cell>
          <cell r="AX62">
            <v>109114.27619794433</v>
          </cell>
          <cell r="AY62">
            <v>218228.55239588866</v>
          </cell>
          <cell r="AZ62">
            <v>654685.65718766605</v>
          </cell>
          <cell r="BA62">
            <v>0</v>
          </cell>
          <cell r="BB62">
            <v>0</v>
          </cell>
          <cell r="BC62">
            <v>0</v>
          </cell>
          <cell r="BD62">
            <v>109114.27619794433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CA62">
            <v>0</v>
          </cell>
          <cell r="CB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O62">
            <v>0</v>
          </cell>
          <cell r="CT62">
            <v>105202</v>
          </cell>
          <cell r="CX62">
            <v>0</v>
          </cell>
        </row>
        <row r="63">
          <cell r="G63">
            <v>173177.12015668923</v>
          </cell>
          <cell r="H63">
            <v>109114.27619794433</v>
          </cell>
          <cell r="I63">
            <v>238671.87426637168</v>
          </cell>
          <cell r="J63">
            <v>141848.55905732763</v>
          </cell>
          <cell r="K63">
            <v>0</v>
          </cell>
          <cell r="L63">
            <v>81577.320156689224</v>
          </cell>
          <cell r="M63">
            <v>59319.676384927567</v>
          </cell>
          <cell r="N63">
            <v>58025.924300405837</v>
          </cell>
          <cell r="O63">
            <v>0</v>
          </cell>
          <cell r="P63">
            <v>0</v>
          </cell>
          <cell r="R63">
            <v>69375.836746740591</v>
          </cell>
          <cell r="S63">
            <v>54629.386746740587</v>
          </cell>
          <cell r="T63">
            <v>195834.94698696234</v>
          </cell>
          <cell r="U63">
            <v>109114.27619794433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1036585.6238804711</v>
          </cell>
          <cell r="AO63">
            <v>1134788.472458621</v>
          </cell>
          <cell r="AP63">
            <v>370988.53907301073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0</v>
          </cell>
          <cell r="AX63">
            <v>109114.27619794433</v>
          </cell>
          <cell r="AY63">
            <v>218228.55239588866</v>
          </cell>
          <cell r="AZ63">
            <v>982028.48578149895</v>
          </cell>
          <cell r="BA63">
            <v>0</v>
          </cell>
          <cell r="BB63">
            <v>0</v>
          </cell>
          <cell r="BC63">
            <v>0</v>
          </cell>
          <cell r="BD63">
            <v>982028.48578149895</v>
          </cell>
          <cell r="BE63">
            <v>0</v>
          </cell>
          <cell r="BF63">
            <v>218228.55239588866</v>
          </cell>
          <cell r="BG63">
            <v>0</v>
          </cell>
          <cell r="BH63">
            <v>0</v>
          </cell>
          <cell r="BI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CA63">
            <v>0</v>
          </cell>
          <cell r="CB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327342.82859383302</v>
          </cell>
          <cell r="CJ63">
            <v>0</v>
          </cell>
          <cell r="CO63">
            <v>0</v>
          </cell>
          <cell r="CU63">
            <v>0</v>
          </cell>
          <cell r="CX63">
            <v>105202</v>
          </cell>
        </row>
        <row r="64">
          <cell r="G64">
            <v>173177.12015668923</v>
          </cell>
          <cell r="H64">
            <v>109114.27619794433</v>
          </cell>
          <cell r="I64">
            <v>0</v>
          </cell>
          <cell r="J64">
            <v>0</v>
          </cell>
          <cell r="K64">
            <v>0</v>
          </cell>
          <cell r="L64">
            <v>40788.660078344612</v>
          </cell>
          <cell r="M64">
            <v>59319.676384927567</v>
          </cell>
          <cell r="N64">
            <v>0</v>
          </cell>
          <cell r="O64">
            <v>0</v>
          </cell>
          <cell r="P64">
            <v>0</v>
          </cell>
          <cell r="R64">
            <v>69375.836746740591</v>
          </cell>
          <cell r="S64">
            <v>54629.386746740587</v>
          </cell>
          <cell r="T64">
            <v>48958.736746740586</v>
          </cell>
          <cell r="U64">
            <v>54557.138098972166</v>
          </cell>
          <cell r="V64">
            <v>109114.27619794433</v>
          </cell>
          <cell r="W64">
            <v>109114.27619794433</v>
          </cell>
          <cell r="X64">
            <v>109114.27619794433</v>
          </cell>
          <cell r="Y64">
            <v>0</v>
          </cell>
          <cell r="AA64">
            <v>218228.55239588866</v>
          </cell>
          <cell r="AB64">
            <v>68805.252769855142</v>
          </cell>
          <cell r="AC64">
            <v>0</v>
          </cell>
          <cell r="AD64">
            <v>0</v>
          </cell>
          <cell r="AE64">
            <v>218228.55239588866</v>
          </cell>
          <cell r="AF64">
            <v>68805.252769855142</v>
          </cell>
          <cell r="AG64">
            <v>218228.55239588866</v>
          </cell>
          <cell r="AH64">
            <v>68805.252769855142</v>
          </cell>
          <cell r="AI64">
            <v>109114.27619794433</v>
          </cell>
          <cell r="AJ64">
            <v>218228.55239588866</v>
          </cell>
          <cell r="AK64">
            <v>218228.55239588866</v>
          </cell>
          <cell r="AL64">
            <v>109114.27619794433</v>
          </cell>
          <cell r="AM64">
            <v>218228.55239588866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0</v>
          </cell>
          <cell r="AX64">
            <v>109114.27619794433</v>
          </cell>
          <cell r="AY64">
            <v>163671.41429691651</v>
          </cell>
          <cell r="AZ64">
            <v>436457.10479177732</v>
          </cell>
          <cell r="BA64">
            <v>34402.626384927571</v>
          </cell>
          <cell r="BB64">
            <v>48063.47638492757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CA64">
            <v>0</v>
          </cell>
          <cell r="CB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O64">
            <v>0</v>
          </cell>
          <cell r="CU64">
            <v>0</v>
          </cell>
          <cell r="CX64">
            <v>0</v>
          </cell>
        </row>
        <row r="65">
          <cell r="G65">
            <v>173177.12015668923</v>
          </cell>
          <cell r="H65">
            <v>109114.27619794433</v>
          </cell>
          <cell r="I65">
            <v>140395.22015668923</v>
          </cell>
          <cell r="J65">
            <v>0</v>
          </cell>
          <cell r="K65">
            <v>0</v>
          </cell>
          <cell r="L65">
            <v>81577.320156689224</v>
          </cell>
          <cell r="M65">
            <v>59319.676384927567</v>
          </cell>
          <cell r="N65">
            <v>44635.326384927568</v>
          </cell>
          <cell r="O65">
            <v>0</v>
          </cell>
          <cell r="P65">
            <v>0</v>
          </cell>
          <cell r="R65">
            <v>69375.836746740591</v>
          </cell>
          <cell r="S65">
            <v>54629.386746740587</v>
          </cell>
          <cell r="T65">
            <v>97917.473493481171</v>
          </cell>
          <cell r="U65">
            <v>109114.27619794433</v>
          </cell>
          <cell r="V65">
            <v>109114.27619794433</v>
          </cell>
          <cell r="W65">
            <v>109114.27619794433</v>
          </cell>
          <cell r="X65">
            <v>109114.27619794433</v>
          </cell>
          <cell r="Y65">
            <v>163671.41429691651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218228.55239588866</v>
          </cell>
          <cell r="AF65">
            <v>68805.252769855142</v>
          </cell>
          <cell r="AG65">
            <v>327342.82859383302</v>
          </cell>
          <cell r="AH65">
            <v>103207.87915478271</v>
          </cell>
          <cell r="AI65">
            <v>327342.82859383302</v>
          </cell>
          <cell r="AJ65">
            <v>327342.82859383302</v>
          </cell>
          <cell r="AK65">
            <v>327342.82859383302</v>
          </cell>
          <cell r="AL65">
            <v>327342.82859383302</v>
          </cell>
          <cell r="AM65">
            <v>327342.82859383302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W65">
            <v>0</v>
          </cell>
          <cell r="AX65">
            <v>54557.138098972166</v>
          </cell>
          <cell r="AY65">
            <v>109114.27619794433</v>
          </cell>
          <cell r="AZ65">
            <v>218228.55239588866</v>
          </cell>
          <cell r="BA65">
            <v>0</v>
          </cell>
          <cell r="BB65">
            <v>0</v>
          </cell>
          <cell r="BC65">
            <v>0</v>
          </cell>
          <cell r="BD65">
            <v>218228.55239588866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CA65">
            <v>0</v>
          </cell>
          <cell r="CB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O65">
            <v>0</v>
          </cell>
          <cell r="CU65">
            <v>0</v>
          </cell>
          <cell r="CX65">
            <v>0</v>
          </cell>
        </row>
        <row r="66">
          <cell r="G66">
            <v>173177.12015668923</v>
          </cell>
          <cell r="H66">
            <v>109114.27619794433</v>
          </cell>
          <cell r="I66">
            <v>154434.74217235818</v>
          </cell>
          <cell r="J66">
            <v>0</v>
          </cell>
          <cell r="K66">
            <v>0</v>
          </cell>
          <cell r="L66">
            <v>81577.320156689224</v>
          </cell>
          <cell r="M66">
            <v>59319.676384927567</v>
          </cell>
          <cell r="N66">
            <v>49098.859023420329</v>
          </cell>
          <cell r="O66">
            <v>0</v>
          </cell>
          <cell r="P66">
            <v>0</v>
          </cell>
          <cell r="R66">
            <v>69375.836746740591</v>
          </cell>
          <cell r="S66">
            <v>54629.386746740587</v>
          </cell>
          <cell r="T66">
            <v>195834.94698696234</v>
          </cell>
          <cell r="U66">
            <v>109114.27619794433</v>
          </cell>
          <cell r="V66">
            <v>109114.27619794433</v>
          </cell>
          <cell r="W66">
            <v>109114.27619794433</v>
          </cell>
          <cell r="X66">
            <v>109114.27619794433</v>
          </cell>
          <cell r="Y66">
            <v>163671.41429691651</v>
          </cell>
          <cell r="AA66">
            <v>218228.55239588866</v>
          </cell>
          <cell r="AB66">
            <v>68805.252769855142</v>
          </cell>
          <cell r="AC66">
            <v>218228.55239588866</v>
          </cell>
          <cell r="AD66">
            <v>68805.252769855142</v>
          </cell>
          <cell r="AE66">
            <v>218228.55239588866</v>
          </cell>
          <cell r="AF66">
            <v>68805.252769855142</v>
          </cell>
          <cell r="AG66">
            <v>327342.82859383302</v>
          </cell>
          <cell r="AH66">
            <v>103207.87915478271</v>
          </cell>
          <cell r="AI66">
            <v>327342.82859383302</v>
          </cell>
          <cell r="AJ66">
            <v>327342.82859383302</v>
          </cell>
          <cell r="AK66">
            <v>327342.82859383302</v>
          </cell>
          <cell r="AL66">
            <v>327342.82859383302</v>
          </cell>
          <cell r="AM66">
            <v>218228.55239588866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0</v>
          </cell>
          <cell r="AX66">
            <v>109114.27619794433</v>
          </cell>
          <cell r="AY66">
            <v>327342.82859383302</v>
          </cell>
          <cell r="AZ66">
            <v>545571.38098972163</v>
          </cell>
          <cell r="BA66">
            <v>68805.252769855142</v>
          </cell>
          <cell r="BB66">
            <v>96126.952769855139</v>
          </cell>
          <cell r="BC66">
            <v>0</v>
          </cell>
          <cell r="BD66">
            <v>1200257.0381773876</v>
          </cell>
          <cell r="BE66">
            <v>0</v>
          </cell>
          <cell r="BF66">
            <v>218228.55239588866</v>
          </cell>
          <cell r="BG66">
            <v>19457.599999999999</v>
          </cell>
          <cell r="BH66">
            <v>61732</v>
          </cell>
          <cell r="BI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CA66">
            <v>0</v>
          </cell>
          <cell r="CB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109114.27619794433</v>
          </cell>
          <cell r="CI66">
            <v>0</v>
          </cell>
          <cell r="CJ66">
            <v>0</v>
          </cell>
          <cell r="CO66">
            <v>0</v>
          </cell>
          <cell r="CU66">
            <v>0</v>
          </cell>
          <cell r="CX66">
            <v>0</v>
          </cell>
        </row>
        <row r="67">
          <cell r="G67">
            <v>173177.12015668923</v>
          </cell>
          <cell r="H67">
            <v>109114.27619794433</v>
          </cell>
          <cell r="I67">
            <v>140395.22015668923</v>
          </cell>
          <cell r="J67">
            <v>0</v>
          </cell>
          <cell r="K67">
            <v>0</v>
          </cell>
          <cell r="L67">
            <v>81577.320156689224</v>
          </cell>
          <cell r="M67">
            <v>59319.676384927567</v>
          </cell>
          <cell r="N67">
            <v>44635.326384927568</v>
          </cell>
          <cell r="O67">
            <v>0</v>
          </cell>
          <cell r="P67">
            <v>0</v>
          </cell>
          <cell r="R67">
            <v>69375.836746740591</v>
          </cell>
          <cell r="S67">
            <v>54629.386746740587</v>
          </cell>
          <cell r="T67">
            <v>97917.473493481171</v>
          </cell>
          <cell r="U67">
            <v>109114.27619794433</v>
          </cell>
          <cell r="V67">
            <v>109114.27619794433</v>
          </cell>
          <cell r="W67">
            <v>109114.27619794433</v>
          </cell>
          <cell r="X67">
            <v>109114.27619794433</v>
          </cell>
          <cell r="Y67">
            <v>163671.41429691651</v>
          </cell>
          <cell r="AA67">
            <v>218228.55239588866</v>
          </cell>
          <cell r="AB67">
            <v>68805.252769855142</v>
          </cell>
          <cell r="AC67">
            <v>109114.27619794433</v>
          </cell>
          <cell r="AD67">
            <v>34402.626384927571</v>
          </cell>
          <cell r="AE67">
            <v>218228.55239588866</v>
          </cell>
          <cell r="AF67">
            <v>68805.252769855142</v>
          </cell>
          <cell r="AG67">
            <v>327342.82859383302</v>
          </cell>
          <cell r="AH67">
            <v>103207.87915478271</v>
          </cell>
          <cell r="AI67">
            <v>327342.82859383302</v>
          </cell>
          <cell r="AJ67">
            <v>327342.82859383302</v>
          </cell>
          <cell r="AK67">
            <v>327342.82859383302</v>
          </cell>
          <cell r="AL67">
            <v>218228.55239588866</v>
          </cell>
          <cell r="AM67">
            <v>218228.55239588866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W67">
            <v>0</v>
          </cell>
          <cell r="AX67">
            <v>57769.910649549296</v>
          </cell>
          <cell r="AY67">
            <v>109114.27619794433</v>
          </cell>
          <cell r="AZ67">
            <v>327342.82859383302</v>
          </cell>
          <cell r="BA67">
            <v>0</v>
          </cell>
          <cell r="BB67">
            <v>0</v>
          </cell>
          <cell r="BC67">
            <v>0</v>
          </cell>
          <cell r="BD67">
            <v>109114.27619794433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CA67">
            <v>0</v>
          </cell>
          <cell r="CB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O67">
            <v>0</v>
          </cell>
          <cell r="CU67">
            <v>0</v>
          </cell>
          <cell r="CX67">
            <v>0</v>
          </cell>
        </row>
        <row r="68">
          <cell r="G68">
            <v>86588.560078344613</v>
          </cell>
          <cell r="H68">
            <v>109114.27619794433</v>
          </cell>
          <cell r="I68">
            <v>252711.39628204063</v>
          </cell>
          <cell r="J68">
            <v>109114.27619794433</v>
          </cell>
          <cell r="K68">
            <v>0</v>
          </cell>
          <cell r="L68">
            <v>40788.660078344612</v>
          </cell>
          <cell r="M68">
            <v>59319.676384927567</v>
          </cell>
          <cell r="N68">
            <v>0</v>
          </cell>
          <cell r="O68">
            <v>0</v>
          </cell>
          <cell r="P68">
            <v>0</v>
          </cell>
          <cell r="R68">
            <v>69375.836746740591</v>
          </cell>
          <cell r="S68">
            <v>54629.386746740587</v>
          </cell>
          <cell r="T68">
            <v>97917.473493481171</v>
          </cell>
          <cell r="U68">
            <v>54557.138098972166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381899.96669280517</v>
          </cell>
          <cell r="AO68">
            <v>349165.68383342191</v>
          </cell>
          <cell r="AP68">
            <v>392811.39431259962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109114.27619794433</v>
          </cell>
          <cell r="AY68">
            <v>327342.82859383302</v>
          </cell>
          <cell r="AZ68">
            <v>654685.65718766605</v>
          </cell>
          <cell r="BA68">
            <v>103207.87915478271</v>
          </cell>
          <cell r="BB68">
            <v>96126.952769855139</v>
          </cell>
          <cell r="BC68">
            <v>0</v>
          </cell>
          <cell r="BD68">
            <v>44637.658444613589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CA68">
            <v>0</v>
          </cell>
          <cell r="CB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218228.55239588866</v>
          </cell>
          <cell r="CJ68">
            <v>0</v>
          </cell>
          <cell r="CO68">
            <v>0</v>
          </cell>
          <cell r="CU68">
            <v>0</v>
          </cell>
          <cell r="CX68">
            <v>0</v>
          </cell>
        </row>
        <row r="69">
          <cell r="G69">
            <v>86588.560078344613</v>
          </cell>
          <cell r="H69">
            <v>109114.27619794433</v>
          </cell>
          <cell r="I69">
            <v>308869.48434471636</v>
          </cell>
          <cell r="J69">
            <v>0</v>
          </cell>
          <cell r="K69">
            <v>356671.77783887769</v>
          </cell>
          <cell r="L69">
            <v>81577.320156689224</v>
          </cell>
          <cell r="M69">
            <v>59319.676384927567</v>
          </cell>
          <cell r="N69">
            <v>75880.054854376867</v>
          </cell>
          <cell r="O69">
            <v>50130.026384927565</v>
          </cell>
          <cell r="P69">
            <v>62573.586746740584</v>
          </cell>
          <cell r="R69">
            <v>69375.836746740591</v>
          </cell>
          <cell r="S69">
            <v>54629.386746740587</v>
          </cell>
          <cell r="T69">
            <v>293752.42048044351</v>
          </cell>
          <cell r="U69">
            <v>109114.27619794433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982028.48578149895</v>
          </cell>
          <cell r="AR69">
            <v>796534.21624499361</v>
          </cell>
          <cell r="AS69">
            <v>687419.94004704931</v>
          </cell>
          <cell r="AT69">
            <v>578305.66384910489</v>
          </cell>
          <cell r="AU69">
            <v>0</v>
          </cell>
          <cell r="AW69">
            <v>0</v>
          </cell>
          <cell r="AX69">
            <v>109114.27619794433</v>
          </cell>
          <cell r="AY69">
            <v>218228.55239588866</v>
          </cell>
          <cell r="AZ69">
            <v>218228.55239588866</v>
          </cell>
          <cell r="BA69">
            <v>0</v>
          </cell>
          <cell r="BB69">
            <v>0</v>
          </cell>
          <cell r="BC69">
            <v>0</v>
          </cell>
          <cell r="BD69">
            <v>109114.27619794433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CA69">
            <v>0</v>
          </cell>
          <cell r="CB69">
            <v>0</v>
          </cell>
          <cell r="CD69">
            <v>218228.55239588866</v>
          </cell>
          <cell r="CE69">
            <v>0</v>
          </cell>
          <cell r="CF69">
            <v>466018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O69">
            <v>105202</v>
          </cell>
          <cell r="CU69">
            <v>0</v>
          </cell>
          <cell r="CX69">
            <v>0</v>
          </cell>
        </row>
        <row r="70">
          <cell r="G70">
            <v>173177.12015668923</v>
          </cell>
          <cell r="H70">
            <v>109114.27619794433</v>
          </cell>
          <cell r="I70">
            <v>126355.69814102032</v>
          </cell>
          <cell r="J70">
            <v>0</v>
          </cell>
          <cell r="K70">
            <v>0</v>
          </cell>
          <cell r="L70">
            <v>81577.320156689224</v>
          </cell>
          <cell r="M70">
            <v>59319.676384927567</v>
          </cell>
          <cell r="N70">
            <v>0</v>
          </cell>
          <cell r="O70">
            <v>0</v>
          </cell>
          <cell r="P70">
            <v>0</v>
          </cell>
          <cell r="R70">
            <v>69375.836746740591</v>
          </cell>
          <cell r="S70">
            <v>54629.386746740587</v>
          </cell>
          <cell r="T70">
            <v>97917.473493481171</v>
          </cell>
          <cell r="U70">
            <v>109114.27619794433</v>
          </cell>
          <cell r="V70">
            <v>109114.27619794433</v>
          </cell>
          <cell r="W70">
            <v>109114.27619794433</v>
          </cell>
          <cell r="X70">
            <v>109114.27619794433</v>
          </cell>
          <cell r="Y70">
            <v>0</v>
          </cell>
          <cell r="Z70">
            <v>327342.82859383302</v>
          </cell>
          <cell r="AA70">
            <v>327342.82859383302</v>
          </cell>
          <cell r="AB70">
            <v>103207.87915478271</v>
          </cell>
          <cell r="AC70">
            <v>109114.27619794433</v>
          </cell>
          <cell r="AD70">
            <v>34402.626384927571</v>
          </cell>
          <cell r="AE70">
            <v>436457.10479177732</v>
          </cell>
          <cell r="AF70">
            <v>137610.50553971028</v>
          </cell>
          <cell r="AG70">
            <v>327342.82859383302</v>
          </cell>
          <cell r="AH70">
            <v>103207.87915478271</v>
          </cell>
          <cell r="AI70">
            <v>218228.55239588866</v>
          </cell>
          <cell r="AJ70">
            <v>218228.55239588866</v>
          </cell>
          <cell r="AK70">
            <v>218228.55239588866</v>
          </cell>
          <cell r="AL70">
            <v>218228.55239588866</v>
          </cell>
          <cell r="AM70">
            <v>218228.55239588866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W70">
            <v>0</v>
          </cell>
          <cell r="AX70">
            <v>105053.14454017658</v>
          </cell>
          <cell r="AY70">
            <v>218228.55239588866</v>
          </cell>
          <cell r="AZ70">
            <v>872914.20958355465</v>
          </cell>
          <cell r="BA70">
            <v>172013.13192463786</v>
          </cell>
          <cell r="BB70">
            <v>0</v>
          </cell>
          <cell r="BC70">
            <v>0</v>
          </cell>
          <cell r="BD70">
            <v>109114.27619794433</v>
          </cell>
          <cell r="BE70">
            <v>0</v>
          </cell>
          <cell r="BF70">
            <v>0</v>
          </cell>
          <cell r="BG70">
            <v>12721.8</v>
          </cell>
          <cell r="BH70">
            <v>33672</v>
          </cell>
          <cell r="BI70">
            <v>6734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CA70">
            <v>0</v>
          </cell>
          <cell r="CB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O70">
            <v>0</v>
          </cell>
          <cell r="CU70">
            <v>0</v>
          </cell>
          <cell r="CX70">
            <v>0</v>
          </cell>
        </row>
        <row r="71">
          <cell r="G71">
            <v>173177.12015668923</v>
          </cell>
          <cell r="H71">
            <v>109114.27619794433</v>
          </cell>
          <cell r="I71">
            <v>112316.1761253514</v>
          </cell>
          <cell r="J71">
            <v>0</v>
          </cell>
          <cell r="K71">
            <v>0</v>
          </cell>
          <cell r="L71">
            <v>81577.320156689224</v>
          </cell>
          <cell r="M71">
            <v>59319.676384927567</v>
          </cell>
          <cell r="N71">
            <v>0</v>
          </cell>
          <cell r="O71">
            <v>0</v>
          </cell>
          <cell r="P71">
            <v>0</v>
          </cell>
          <cell r="R71">
            <v>69375.836746740591</v>
          </cell>
          <cell r="S71">
            <v>54629.386746740587</v>
          </cell>
          <cell r="T71">
            <v>97917.473493481171</v>
          </cell>
          <cell r="U71">
            <v>109114.27619794433</v>
          </cell>
          <cell r="V71">
            <v>109114.27619794433</v>
          </cell>
          <cell r="W71">
            <v>109114.27619794433</v>
          </cell>
          <cell r="X71">
            <v>109114.27619794433</v>
          </cell>
          <cell r="Y71">
            <v>0</v>
          </cell>
          <cell r="AA71">
            <v>218228.55239588866</v>
          </cell>
          <cell r="AB71">
            <v>68805.252769855142</v>
          </cell>
          <cell r="AC71">
            <v>109114.27619794433</v>
          </cell>
          <cell r="AD71">
            <v>34402.626384927571</v>
          </cell>
          <cell r="AE71">
            <v>218228.55239588866</v>
          </cell>
          <cell r="AF71">
            <v>68805.252769855142</v>
          </cell>
          <cell r="AG71">
            <v>218228.55239588866</v>
          </cell>
          <cell r="AH71">
            <v>68805.252769855142</v>
          </cell>
          <cell r="AI71">
            <v>218228.55239588866</v>
          </cell>
          <cell r="AJ71">
            <v>218228.55239588866</v>
          </cell>
          <cell r="AK71">
            <v>218228.55239588866</v>
          </cell>
          <cell r="AL71">
            <v>218228.55239588866</v>
          </cell>
          <cell r="AM71">
            <v>218228.55239588866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109114.27619794433</v>
          </cell>
          <cell r="AY71">
            <v>218228.55239588866</v>
          </cell>
          <cell r="AZ71">
            <v>436457.10479177732</v>
          </cell>
          <cell r="BA71">
            <v>68805.252769855142</v>
          </cell>
          <cell r="BB71">
            <v>0</v>
          </cell>
          <cell r="BC71">
            <v>0</v>
          </cell>
          <cell r="BD71">
            <v>4959.7398271792881</v>
          </cell>
          <cell r="BE71">
            <v>0</v>
          </cell>
          <cell r="BF71">
            <v>0</v>
          </cell>
          <cell r="BG71">
            <v>12721.400000000001</v>
          </cell>
          <cell r="BH71">
            <v>28060</v>
          </cell>
          <cell r="BI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109114.27619794433</v>
          </cell>
          <cell r="BU71">
            <v>0</v>
          </cell>
          <cell r="BV71">
            <v>0</v>
          </cell>
          <cell r="CA71">
            <v>0</v>
          </cell>
          <cell r="CB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O71">
            <v>0</v>
          </cell>
          <cell r="CU71">
            <v>0</v>
          </cell>
          <cell r="CX71">
            <v>0</v>
          </cell>
        </row>
        <row r="72">
          <cell r="G72">
            <v>173177.12015668923</v>
          </cell>
          <cell r="H72">
            <v>109114.27619794433</v>
          </cell>
          <cell r="I72">
            <v>210592.83023503385</v>
          </cell>
          <cell r="J72">
            <v>0</v>
          </cell>
          <cell r="K72">
            <v>0</v>
          </cell>
          <cell r="L72">
            <v>81577.320156689224</v>
          </cell>
          <cell r="M72">
            <v>59319.676384927567</v>
          </cell>
          <cell r="N72">
            <v>66952.989577391359</v>
          </cell>
          <cell r="O72">
            <v>0</v>
          </cell>
          <cell r="P72">
            <v>0</v>
          </cell>
          <cell r="R72">
            <v>69375.836746740591</v>
          </cell>
          <cell r="S72">
            <v>54629.386746740587</v>
          </cell>
          <cell r="T72">
            <v>195834.94698696234</v>
          </cell>
          <cell r="U72">
            <v>109114.27619794433</v>
          </cell>
          <cell r="V72">
            <v>109114.27619794433</v>
          </cell>
          <cell r="W72">
            <v>109114.27619794433</v>
          </cell>
          <cell r="X72">
            <v>109114.27619794433</v>
          </cell>
          <cell r="Y72">
            <v>272785.69049486081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327342.82859383302</v>
          </cell>
          <cell r="AF72">
            <v>103207.87915478271</v>
          </cell>
          <cell r="AG72">
            <v>436457.10479177732</v>
          </cell>
          <cell r="AH72">
            <v>137610.50553971028</v>
          </cell>
          <cell r="AI72">
            <v>436457.10479177732</v>
          </cell>
          <cell r="AJ72">
            <v>436457.10479177732</v>
          </cell>
          <cell r="AK72">
            <v>436457.10479177732</v>
          </cell>
          <cell r="AL72">
            <v>436457.10479177732</v>
          </cell>
          <cell r="AM72">
            <v>545571.38098972163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54557.138098972166</v>
          </cell>
          <cell r="AY72">
            <v>218228.55239588866</v>
          </cell>
          <cell r="AZ72">
            <v>436457.10479177732</v>
          </cell>
          <cell r="BA72">
            <v>34402.626384927571</v>
          </cell>
          <cell r="BB72">
            <v>0</v>
          </cell>
          <cell r="BC72">
            <v>0</v>
          </cell>
          <cell r="BD72">
            <v>327342.82859383302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CA72">
            <v>0</v>
          </cell>
          <cell r="CB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O72">
            <v>0</v>
          </cell>
          <cell r="CU72">
            <v>0</v>
          </cell>
          <cell r="CX72">
            <v>0</v>
          </cell>
        </row>
        <row r="73">
          <cell r="G73">
            <v>173177.12015668923</v>
          </cell>
          <cell r="H73">
            <v>109114.27619794433</v>
          </cell>
          <cell r="I73">
            <v>126355.69814102032</v>
          </cell>
          <cell r="J73">
            <v>0</v>
          </cell>
          <cell r="K73">
            <v>0</v>
          </cell>
          <cell r="L73">
            <v>81577.320156689224</v>
          </cell>
          <cell r="M73">
            <v>59319.676384927567</v>
          </cell>
          <cell r="N73">
            <v>0</v>
          </cell>
          <cell r="O73">
            <v>0</v>
          </cell>
          <cell r="P73">
            <v>0</v>
          </cell>
          <cell r="R73">
            <v>69375.836746740591</v>
          </cell>
          <cell r="S73">
            <v>54629.386746740587</v>
          </cell>
          <cell r="T73">
            <v>97917.473493481171</v>
          </cell>
          <cell r="U73">
            <v>109114.27619794433</v>
          </cell>
          <cell r="V73">
            <v>109114.27619794433</v>
          </cell>
          <cell r="W73">
            <v>109114.27619794433</v>
          </cell>
          <cell r="X73">
            <v>109114.27619794433</v>
          </cell>
          <cell r="Y73">
            <v>-3.3469405025243759E-10</v>
          </cell>
          <cell r="Z73">
            <v>109114.27619794433</v>
          </cell>
          <cell r="AA73">
            <v>0</v>
          </cell>
          <cell r="AB73">
            <v>0</v>
          </cell>
          <cell r="AC73">
            <v>654685.65718766605</v>
          </cell>
          <cell r="AD73">
            <v>206415.75830956543</v>
          </cell>
          <cell r="AE73">
            <v>0</v>
          </cell>
          <cell r="AF73">
            <v>0</v>
          </cell>
          <cell r="AG73">
            <v>327342.82859383302</v>
          </cell>
          <cell r="AH73">
            <v>103207.87915478271</v>
          </cell>
          <cell r="AI73">
            <v>218228.55239588866</v>
          </cell>
          <cell r="AJ73">
            <v>218228.55239588866</v>
          </cell>
          <cell r="AK73">
            <v>218228.55239588866</v>
          </cell>
          <cell r="AL73">
            <v>218228.55239588866</v>
          </cell>
          <cell r="AM73">
            <v>218228.55239588866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109114.27619794433</v>
          </cell>
          <cell r="AY73">
            <v>109114.27619794433</v>
          </cell>
          <cell r="AZ73">
            <v>436457.10479177732</v>
          </cell>
          <cell r="BA73">
            <v>34402.626384927571</v>
          </cell>
          <cell r="BB73">
            <v>48063.47638492757</v>
          </cell>
          <cell r="BC73">
            <v>0</v>
          </cell>
          <cell r="BD73">
            <v>109114.27619794433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CA73">
            <v>0</v>
          </cell>
          <cell r="CB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O73">
            <v>0</v>
          </cell>
          <cell r="CU73">
            <v>0</v>
          </cell>
          <cell r="CX73">
            <v>0</v>
          </cell>
        </row>
        <row r="74">
          <cell r="G74">
            <v>173177.12015668923</v>
          </cell>
          <cell r="H74">
            <v>109114.27619794433</v>
          </cell>
          <cell r="I74">
            <v>70197.610078344616</v>
          </cell>
          <cell r="J74">
            <v>109114.27619794433</v>
          </cell>
          <cell r="K74">
            <v>0</v>
          </cell>
          <cell r="L74">
            <v>40788.660078344612</v>
          </cell>
          <cell r="M74">
            <v>59319.676384927567</v>
          </cell>
          <cell r="N74">
            <v>0</v>
          </cell>
          <cell r="O74">
            <v>0</v>
          </cell>
          <cell r="P74">
            <v>0</v>
          </cell>
          <cell r="R74">
            <v>69375.836746740591</v>
          </cell>
          <cell r="S74">
            <v>54629.386746740587</v>
          </cell>
          <cell r="T74">
            <v>48958.736746740586</v>
          </cell>
          <cell r="U74">
            <v>54557.138098972166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741977.07814602146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54557.138098972166</v>
          </cell>
          <cell r="AY74">
            <v>54557.138098972166</v>
          </cell>
          <cell r="AZ74">
            <v>763799.93338561035</v>
          </cell>
          <cell r="BA74">
            <v>172013.13192463786</v>
          </cell>
          <cell r="BB74">
            <v>48063.47638492757</v>
          </cell>
          <cell r="BC74">
            <v>0</v>
          </cell>
          <cell r="BD74">
            <v>545571.38098972163</v>
          </cell>
          <cell r="BE74">
            <v>0</v>
          </cell>
          <cell r="BF74">
            <v>109114.27619794433</v>
          </cell>
          <cell r="BG74">
            <v>0</v>
          </cell>
          <cell r="BH74">
            <v>0</v>
          </cell>
          <cell r="BI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CA74">
            <v>0</v>
          </cell>
          <cell r="CB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218228.55239588866</v>
          </cell>
          <cell r="CJ74">
            <v>0</v>
          </cell>
          <cell r="CO74">
            <v>0</v>
          </cell>
          <cell r="CU74">
            <v>0</v>
          </cell>
          <cell r="CX74">
            <v>0</v>
          </cell>
        </row>
        <row r="75">
          <cell r="G75">
            <v>173177.12015668923</v>
          </cell>
          <cell r="H75">
            <v>109114.27619794433</v>
          </cell>
          <cell r="I75">
            <v>0</v>
          </cell>
          <cell r="J75">
            <v>0</v>
          </cell>
          <cell r="K75">
            <v>0</v>
          </cell>
          <cell r="L75">
            <v>40788.660078344612</v>
          </cell>
          <cell r="M75">
            <v>59319.676384927567</v>
          </cell>
          <cell r="N75">
            <v>0</v>
          </cell>
          <cell r="O75">
            <v>0</v>
          </cell>
          <cell r="P75">
            <v>0</v>
          </cell>
          <cell r="R75">
            <v>69375.836746740591</v>
          </cell>
          <cell r="S75">
            <v>54629.386746740587</v>
          </cell>
          <cell r="T75">
            <v>48958.736746740586</v>
          </cell>
          <cell r="U75">
            <v>54557.138098972166</v>
          </cell>
          <cell r="V75">
            <v>109114.27619794433</v>
          </cell>
          <cell r="W75">
            <v>109114.27619794433</v>
          </cell>
          <cell r="X75">
            <v>109114.27619794433</v>
          </cell>
          <cell r="Y75">
            <v>0</v>
          </cell>
          <cell r="AA75">
            <v>109114.27619794433</v>
          </cell>
          <cell r="AB75">
            <v>34402.626384927571</v>
          </cell>
          <cell r="AC75">
            <v>109114.27619794433</v>
          </cell>
          <cell r="AD75">
            <v>34402.626384927571</v>
          </cell>
          <cell r="AE75">
            <v>109114.27619794433</v>
          </cell>
          <cell r="AF75">
            <v>34402.626384927571</v>
          </cell>
          <cell r="AG75">
            <v>218228.55239588866</v>
          </cell>
          <cell r="AH75">
            <v>68805.252769855142</v>
          </cell>
          <cell r="AI75">
            <v>218228.55239588866</v>
          </cell>
          <cell r="AJ75">
            <v>109114.27619794433</v>
          </cell>
          <cell r="AK75">
            <v>218228.55239588866</v>
          </cell>
          <cell r="AL75">
            <v>109114.27619794433</v>
          </cell>
          <cell r="AM75">
            <v>218228.55239588866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109114.27619794433</v>
          </cell>
          <cell r="AY75">
            <v>109114.27619794433</v>
          </cell>
          <cell r="AZ75">
            <v>654685.65718766605</v>
          </cell>
          <cell r="BA75">
            <v>137610.50553971028</v>
          </cell>
          <cell r="BB75">
            <v>0</v>
          </cell>
          <cell r="BC75">
            <v>0</v>
          </cell>
          <cell r="BD75">
            <v>109114.27619794433</v>
          </cell>
          <cell r="BE75">
            <v>0</v>
          </cell>
          <cell r="BF75">
            <v>0</v>
          </cell>
          <cell r="BG75">
            <v>12346.9</v>
          </cell>
          <cell r="BH75">
            <v>22448</v>
          </cell>
          <cell r="BI75">
            <v>6734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CA75">
            <v>0</v>
          </cell>
          <cell r="CB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O75">
            <v>0</v>
          </cell>
          <cell r="CU75">
            <v>0</v>
          </cell>
          <cell r="CX75">
            <v>0</v>
          </cell>
        </row>
        <row r="76">
          <cell r="G76">
            <v>173177.12015668923</v>
          </cell>
          <cell r="H76">
            <v>109114.27619794433</v>
          </cell>
          <cell r="I76">
            <v>154434.74217235818</v>
          </cell>
          <cell r="J76">
            <v>0</v>
          </cell>
          <cell r="K76">
            <v>0</v>
          </cell>
          <cell r="L76">
            <v>81577.320156689224</v>
          </cell>
          <cell r="M76">
            <v>59319.676384927567</v>
          </cell>
          <cell r="N76">
            <v>49098.859023420329</v>
          </cell>
          <cell r="O76">
            <v>0</v>
          </cell>
          <cell r="P76">
            <v>0</v>
          </cell>
          <cell r="R76">
            <v>69375.836746740591</v>
          </cell>
          <cell r="S76">
            <v>54629.386746740587</v>
          </cell>
          <cell r="T76">
            <v>97917.473493481171</v>
          </cell>
          <cell r="U76">
            <v>109114.27619794433</v>
          </cell>
          <cell r="V76">
            <v>109114.27619794433</v>
          </cell>
          <cell r="W76">
            <v>109114.27619794433</v>
          </cell>
          <cell r="X76">
            <v>109114.27619794433</v>
          </cell>
          <cell r="Y76">
            <v>163671.41429691651</v>
          </cell>
          <cell r="AA76">
            <v>327342.82859383302</v>
          </cell>
          <cell r="AB76">
            <v>103207.87915478271</v>
          </cell>
          <cell r="AC76">
            <v>0</v>
          </cell>
          <cell r="AD76">
            <v>0</v>
          </cell>
          <cell r="AE76">
            <v>327342.82859383302</v>
          </cell>
          <cell r="AF76">
            <v>103207.87915478271</v>
          </cell>
          <cell r="AG76">
            <v>327342.82859383302</v>
          </cell>
          <cell r="AH76">
            <v>103207.87915478271</v>
          </cell>
          <cell r="AI76">
            <v>327342.82859383302</v>
          </cell>
          <cell r="AJ76">
            <v>327342.82859383302</v>
          </cell>
          <cell r="AK76">
            <v>327342.82859383302</v>
          </cell>
          <cell r="AL76">
            <v>327342.82859383302</v>
          </cell>
          <cell r="AM76">
            <v>218228.55239588866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109114.27619794433</v>
          </cell>
          <cell r="AY76">
            <v>109114.27619794433</v>
          </cell>
          <cell r="AZ76">
            <v>545571.38098972163</v>
          </cell>
          <cell r="BA76">
            <v>34402.626384927571</v>
          </cell>
          <cell r="BB76">
            <v>48063.47638492757</v>
          </cell>
          <cell r="BC76">
            <v>0</v>
          </cell>
          <cell r="BD76">
            <v>9919.4796543585762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CA76">
            <v>0</v>
          </cell>
          <cell r="CB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O76">
            <v>0</v>
          </cell>
          <cell r="CU76">
            <v>0</v>
          </cell>
          <cell r="CX76">
            <v>0</v>
          </cell>
        </row>
        <row r="77">
          <cell r="G77">
            <v>173177.12015668923</v>
          </cell>
          <cell r="H77">
            <v>218228.55239588866</v>
          </cell>
          <cell r="I77">
            <v>280790.44031337847</v>
          </cell>
          <cell r="J77">
            <v>109114.27619794433</v>
          </cell>
          <cell r="K77">
            <v>0</v>
          </cell>
          <cell r="L77">
            <v>81577.320156689224</v>
          </cell>
          <cell r="M77">
            <v>59319.676384927567</v>
          </cell>
          <cell r="N77">
            <v>80343.587492869628</v>
          </cell>
          <cell r="O77">
            <v>0</v>
          </cell>
          <cell r="P77">
            <v>0</v>
          </cell>
          <cell r="R77">
            <v>69375.836746740591</v>
          </cell>
          <cell r="S77">
            <v>54629.386746740587</v>
          </cell>
          <cell r="T77">
            <v>195834.94698696234</v>
          </cell>
          <cell r="U77">
            <v>218228.55239588866</v>
          </cell>
          <cell r="V77">
            <v>109114.27619794433</v>
          </cell>
          <cell r="W77">
            <v>109114.27619794433</v>
          </cell>
          <cell r="X77">
            <v>109114.27619794433</v>
          </cell>
          <cell r="Y77">
            <v>272785.69049486064</v>
          </cell>
          <cell r="Z77">
            <v>109114.27619794433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218228.55239588866</v>
          </cell>
          <cell r="AF77">
            <v>68805.252769855142</v>
          </cell>
          <cell r="AG77">
            <v>327342.82859383302</v>
          </cell>
          <cell r="AH77">
            <v>103207.87915478271</v>
          </cell>
          <cell r="AI77">
            <v>436457.10479177732</v>
          </cell>
          <cell r="AJ77">
            <v>436457.10479177732</v>
          </cell>
          <cell r="AK77">
            <v>327342.82859383302</v>
          </cell>
          <cell r="AL77">
            <v>436457.10479177732</v>
          </cell>
          <cell r="AM77">
            <v>327342.82859383302</v>
          </cell>
          <cell r="AN77">
            <v>414634.24955218844</v>
          </cell>
          <cell r="AO77">
            <v>425545.67717198288</v>
          </cell>
          <cell r="AP77">
            <v>414634.24955218844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W77">
            <v>0</v>
          </cell>
          <cell r="AX77">
            <v>109114.27619794433</v>
          </cell>
          <cell r="AY77">
            <v>218228.55239588866</v>
          </cell>
          <cell r="AZ77">
            <v>872914.20958355465</v>
          </cell>
          <cell r="BA77">
            <v>34402.626384927571</v>
          </cell>
          <cell r="BB77">
            <v>0</v>
          </cell>
          <cell r="BC77">
            <v>0</v>
          </cell>
          <cell r="BD77">
            <v>872914.20958355465</v>
          </cell>
          <cell r="BE77">
            <v>0</v>
          </cell>
          <cell r="BF77">
            <v>109114.27619794433</v>
          </cell>
          <cell r="BG77">
            <v>0</v>
          </cell>
          <cell r="BH77">
            <v>0</v>
          </cell>
          <cell r="BI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CA77">
            <v>0</v>
          </cell>
          <cell r="CB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218228.55239588866</v>
          </cell>
          <cell r="CJ77">
            <v>0</v>
          </cell>
          <cell r="CO77">
            <v>0</v>
          </cell>
          <cell r="CU77">
            <v>0</v>
          </cell>
          <cell r="CX77">
            <v>0</v>
          </cell>
        </row>
        <row r="78">
          <cell r="G78">
            <v>173177.12015668923</v>
          </cell>
          <cell r="H78">
            <v>109114.27619794433</v>
          </cell>
          <cell r="I78">
            <v>140395.22015668923</v>
          </cell>
          <cell r="J78">
            <v>0</v>
          </cell>
          <cell r="K78">
            <v>0</v>
          </cell>
          <cell r="L78">
            <v>81577.320156689224</v>
          </cell>
          <cell r="M78">
            <v>59319.676384927567</v>
          </cell>
          <cell r="N78">
            <v>0</v>
          </cell>
          <cell r="O78">
            <v>0</v>
          </cell>
          <cell r="P78">
            <v>0</v>
          </cell>
          <cell r="R78">
            <v>69375.836746740591</v>
          </cell>
          <cell r="S78">
            <v>54629.386746740587</v>
          </cell>
          <cell r="T78">
            <v>97917.473493481171</v>
          </cell>
          <cell r="U78">
            <v>109114.27619794433</v>
          </cell>
          <cell r="V78">
            <v>109114.27619794433</v>
          </cell>
          <cell r="W78">
            <v>109114.27619794433</v>
          </cell>
          <cell r="X78">
            <v>109114.27619794433</v>
          </cell>
          <cell r="Y78">
            <v>4.9476511776447296E-10</v>
          </cell>
          <cell r="Z78">
            <v>163671.41429691651</v>
          </cell>
          <cell r="AA78">
            <v>218228.55239588866</v>
          </cell>
          <cell r="AB78">
            <v>68805.252769855142</v>
          </cell>
          <cell r="AC78">
            <v>0</v>
          </cell>
          <cell r="AD78">
            <v>0</v>
          </cell>
          <cell r="AE78">
            <v>218228.55239588866</v>
          </cell>
          <cell r="AF78">
            <v>68805.252769855142</v>
          </cell>
          <cell r="AG78">
            <v>327342.82859383302</v>
          </cell>
          <cell r="AH78">
            <v>103207.87915478271</v>
          </cell>
          <cell r="AI78">
            <v>327342.82859383302</v>
          </cell>
          <cell r="AJ78">
            <v>327342.82859383302</v>
          </cell>
          <cell r="AK78">
            <v>327342.82859383302</v>
          </cell>
          <cell r="AL78">
            <v>218228.55239588866</v>
          </cell>
          <cell r="AM78">
            <v>327342.82859383302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W78">
            <v>0</v>
          </cell>
          <cell r="AX78">
            <v>109114.27619794433</v>
          </cell>
          <cell r="AY78">
            <v>109114.27619794433</v>
          </cell>
          <cell r="AZ78">
            <v>982028.48578149895</v>
          </cell>
          <cell r="BA78">
            <v>309623.63746434811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12348.5</v>
          </cell>
          <cell r="BH78">
            <v>44896</v>
          </cell>
          <cell r="BI78">
            <v>6734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109114.27619794433</v>
          </cell>
          <cell r="BU78">
            <v>0</v>
          </cell>
          <cell r="BV78">
            <v>0</v>
          </cell>
          <cell r="CA78">
            <v>109114.27619794433</v>
          </cell>
          <cell r="CB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O78">
            <v>0</v>
          </cell>
          <cell r="CU78">
            <v>0</v>
          </cell>
          <cell r="CX78">
            <v>0</v>
          </cell>
        </row>
        <row r="79">
          <cell r="G79">
            <v>173177.12015668923</v>
          </cell>
          <cell r="H79">
            <v>109114.27619794433</v>
          </cell>
          <cell r="I79">
            <v>126355.69814102032</v>
          </cell>
          <cell r="J79">
            <v>0</v>
          </cell>
          <cell r="K79">
            <v>0</v>
          </cell>
          <cell r="L79">
            <v>81577.320156689224</v>
          </cell>
          <cell r="M79">
            <v>59319.676384927567</v>
          </cell>
          <cell r="N79">
            <v>0</v>
          </cell>
          <cell r="O79">
            <v>0</v>
          </cell>
          <cell r="P79">
            <v>0</v>
          </cell>
          <cell r="R79">
            <v>69375.836746740591</v>
          </cell>
          <cell r="S79">
            <v>54629.386746740587</v>
          </cell>
          <cell r="T79">
            <v>97917.473493481171</v>
          </cell>
          <cell r="U79">
            <v>109114.27619794433</v>
          </cell>
          <cell r="V79">
            <v>109114.27619794433</v>
          </cell>
          <cell r="W79">
            <v>109114.27619794433</v>
          </cell>
          <cell r="X79">
            <v>109114.27619794433</v>
          </cell>
          <cell r="Y79">
            <v>0</v>
          </cell>
          <cell r="AA79">
            <v>327342.82859383302</v>
          </cell>
          <cell r="AB79">
            <v>103207.87915478271</v>
          </cell>
          <cell r="AC79">
            <v>0</v>
          </cell>
          <cell r="AD79">
            <v>0</v>
          </cell>
          <cell r="AE79">
            <v>218228.55239588866</v>
          </cell>
          <cell r="AF79">
            <v>68805.252769855142</v>
          </cell>
          <cell r="AG79">
            <v>218228.55239588866</v>
          </cell>
          <cell r="AH79">
            <v>68805.252769855142</v>
          </cell>
          <cell r="AI79">
            <v>218228.55239588866</v>
          </cell>
          <cell r="AJ79">
            <v>218228.55239588866</v>
          </cell>
          <cell r="AK79">
            <v>218228.55239588866</v>
          </cell>
          <cell r="AL79">
            <v>218228.55239588866</v>
          </cell>
          <cell r="AM79">
            <v>218228.55239588866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W79">
            <v>0</v>
          </cell>
          <cell r="AX79">
            <v>109114.27619794433</v>
          </cell>
          <cell r="AY79">
            <v>218228.55239588866</v>
          </cell>
          <cell r="AZ79">
            <v>763799.93338561035</v>
          </cell>
          <cell r="BA79">
            <v>206415.75830956543</v>
          </cell>
          <cell r="BB79">
            <v>96126.952769855139</v>
          </cell>
          <cell r="BC79">
            <v>0</v>
          </cell>
          <cell r="BD79">
            <v>44637.658444613589</v>
          </cell>
          <cell r="BE79">
            <v>0</v>
          </cell>
          <cell r="BF79">
            <v>0</v>
          </cell>
          <cell r="BG79">
            <v>18334.900000000001</v>
          </cell>
          <cell r="BH79">
            <v>56120</v>
          </cell>
          <cell r="BI79">
            <v>6734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CA79">
            <v>0</v>
          </cell>
          <cell r="CB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O79">
            <v>0</v>
          </cell>
          <cell r="CU79">
            <v>0</v>
          </cell>
          <cell r="CX79">
            <v>0</v>
          </cell>
        </row>
        <row r="80">
          <cell r="G80">
            <v>0</v>
          </cell>
          <cell r="H80">
            <v>109114.27619794433</v>
          </cell>
          <cell r="I80">
            <v>140395.22015668923</v>
          </cell>
          <cell r="J80">
            <v>0</v>
          </cell>
          <cell r="K80">
            <v>0</v>
          </cell>
          <cell r="L80">
            <v>40788.660078344612</v>
          </cell>
          <cell r="M80">
            <v>59319.676384927567</v>
          </cell>
          <cell r="N80">
            <v>0</v>
          </cell>
          <cell r="O80">
            <v>0</v>
          </cell>
          <cell r="P80">
            <v>0</v>
          </cell>
          <cell r="R80">
            <v>69375.836746740591</v>
          </cell>
          <cell r="S80">
            <v>54629.386746740587</v>
          </cell>
          <cell r="T80">
            <v>48958.736746740586</v>
          </cell>
          <cell r="U80">
            <v>54557.138098972166</v>
          </cell>
          <cell r="V80">
            <v>109114.27619794433</v>
          </cell>
          <cell r="W80">
            <v>109114.27619794433</v>
          </cell>
          <cell r="X80">
            <v>109114.27619794433</v>
          </cell>
          <cell r="Y80">
            <v>0</v>
          </cell>
          <cell r="AA80">
            <v>436457.10479177732</v>
          </cell>
          <cell r="AB80">
            <v>137610.50553971028</v>
          </cell>
          <cell r="AC80">
            <v>0</v>
          </cell>
          <cell r="AD80">
            <v>0</v>
          </cell>
          <cell r="AE80">
            <v>436457.10479177732</v>
          </cell>
          <cell r="AF80">
            <v>137610.50553971028</v>
          </cell>
          <cell r="AG80">
            <v>436457.10479177732</v>
          </cell>
          <cell r="AH80">
            <v>137610.50553971028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54557.138098972166</v>
          </cell>
          <cell r="AY80">
            <v>54557.138098972166</v>
          </cell>
          <cell r="AZ80">
            <v>109114.27619794433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CA80">
            <v>0</v>
          </cell>
          <cell r="CB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O80">
            <v>0</v>
          </cell>
          <cell r="CU80">
            <v>0</v>
          </cell>
          <cell r="CX80">
            <v>0</v>
          </cell>
        </row>
        <row r="81">
          <cell r="G81">
            <v>173177.12015668923</v>
          </cell>
          <cell r="H81">
            <v>109114.27619794433</v>
          </cell>
          <cell r="I81">
            <v>126355.69814102032</v>
          </cell>
          <cell r="J81">
            <v>0</v>
          </cell>
          <cell r="K81">
            <v>178335.88891943885</v>
          </cell>
          <cell r="L81">
            <v>40788.660078344612</v>
          </cell>
          <cell r="M81">
            <v>59319.676384927567</v>
          </cell>
          <cell r="N81">
            <v>0</v>
          </cell>
          <cell r="O81">
            <v>50130.026384927565</v>
          </cell>
          <cell r="P81">
            <v>62573.586746740584</v>
          </cell>
          <cell r="R81">
            <v>69375.836746740591</v>
          </cell>
          <cell r="S81">
            <v>54629.386746740587</v>
          </cell>
          <cell r="T81">
            <v>146876.21024022176</v>
          </cell>
          <cell r="U81">
            <v>54557.138098972166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534659.95336992724</v>
          </cell>
          <cell r="AR81">
            <v>392811.39431259962</v>
          </cell>
          <cell r="AS81">
            <v>349165.68383342191</v>
          </cell>
          <cell r="AT81">
            <v>360077.11145321629</v>
          </cell>
          <cell r="AU81">
            <v>0</v>
          </cell>
          <cell r="AW81">
            <v>0</v>
          </cell>
          <cell r="AX81">
            <v>109114.27619794433</v>
          </cell>
          <cell r="AY81">
            <v>109114.27619794433</v>
          </cell>
          <cell r="AZ81">
            <v>436457.10479177732</v>
          </cell>
          <cell r="BA81">
            <v>0</v>
          </cell>
          <cell r="BB81">
            <v>0</v>
          </cell>
          <cell r="BC81">
            <v>0</v>
          </cell>
          <cell r="BD81">
            <v>109114.27619794433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CA81">
            <v>0</v>
          </cell>
          <cell r="CB81">
            <v>0</v>
          </cell>
          <cell r="CD81">
            <v>218228.55239588866</v>
          </cell>
          <cell r="CE81">
            <v>109114.27619794433</v>
          </cell>
          <cell r="CF81">
            <v>128098.27015668922</v>
          </cell>
          <cell r="CG81">
            <v>105202</v>
          </cell>
          <cell r="CH81">
            <v>0</v>
          </cell>
          <cell r="CI81">
            <v>0</v>
          </cell>
          <cell r="CJ81">
            <v>0</v>
          </cell>
          <cell r="CO81">
            <v>105202</v>
          </cell>
          <cell r="CU81">
            <v>0</v>
          </cell>
          <cell r="CX81">
            <v>0</v>
          </cell>
        </row>
        <row r="82">
          <cell r="G82">
            <v>173177.12015668923</v>
          </cell>
          <cell r="H82">
            <v>109114.27619794433</v>
          </cell>
          <cell r="I82">
            <v>112316.1761253514</v>
          </cell>
          <cell r="J82">
            <v>0</v>
          </cell>
          <cell r="K82">
            <v>0</v>
          </cell>
          <cell r="L82">
            <v>81577.320156689224</v>
          </cell>
          <cell r="M82">
            <v>59319.676384927567</v>
          </cell>
          <cell r="N82">
            <v>0</v>
          </cell>
          <cell r="O82">
            <v>0</v>
          </cell>
          <cell r="P82">
            <v>0</v>
          </cell>
          <cell r="R82">
            <v>69375.836746740591</v>
          </cell>
          <cell r="S82">
            <v>54629.386746740587</v>
          </cell>
          <cell r="T82">
            <v>48958.736746740586</v>
          </cell>
          <cell r="U82">
            <v>109114.27619794433</v>
          </cell>
          <cell r="V82">
            <v>109114.27619794433</v>
          </cell>
          <cell r="W82">
            <v>109114.27619794433</v>
          </cell>
          <cell r="X82">
            <v>109114.27619794433</v>
          </cell>
          <cell r="Y82">
            <v>-3.3469405025243759E-10</v>
          </cell>
          <cell r="Z82">
            <v>109114.27619794433</v>
          </cell>
          <cell r="AA82">
            <v>0</v>
          </cell>
          <cell r="AB82">
            <v>0</v>
          </cell>
          <cell r="AC82">
            <v>436457.10479177732</v>
          </cell>
          <cell r="AD82">
            <v>137610.50553971028</v>
          </cell>
          <cell r="AE82">
            <v>0</v>
          </cell>
          <cell r="AF82">
            <v>0</v>
          </cell>
          <cell r="AG82">
            <v>218228.55239588866</v>
          </cell>
          <cell r="AH82">
            <v>68805.252769855142</v>
          </cell>
          <cell r="AI82">
            <v>218228.55239588866</v>
          </cell>
          <cell r="AJ82">
            <v>218228.55239588866</v>
          </cell>
          <cell r="AK82">
            <v>218228.55239588866</v>
          </cell>
          <cell r="AL82">
            <v>218228.55239588866</v>
          </cell>
          <cell r="AM82">
            <v>218228.55239588866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W82">
            <v>0</v>
          </cell>
          <cell r="AX82">
            <v>109114.27619794433</v>
          </cell>
          <cell r="AY82">
            <v>109114.27619794433</v>
          </cell>
          <cell r="AZ82">
            <v>654685.65718766605</v>
          </cell>
          <cell r="BA82">
            <v>206415.75830956543</v>
          </cell>
          <cell r="BB82">
            <v>0</v>
          </cell>
          <cell r="BC82">
            <v>0</v>
          </cell>
          <cell r="BD82">
            <v>109114.27619794433</v>
          </cell>
          <cell r="BE82">
            <v>0</v>
          </cell>
          <cell r="BF82">
            <v>0</v>
          </cell>
          <cell r="BG82">
            <v>11974</v>
          </cell>
          <cell r="BH82">
            <v>39284</v>
          </cell>
          <cell r="BI82">
            <v>6734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CA82">
            <v>0</v>
          </cell>
          <cell r="CB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O82">
            <v>0</v>
          </cell>
          <cell r="CU82">
            <v>0</v>
          </cell>
          <cell r="CX82">
            <v>0</v>
          </cell>
        </row>
        <row r="83">
          <cell r="G83">
            <v>173177.12015668923</v>
          </cell>
          <cell r="H83">
            <v>109114.27619794433</v>
          </cell>
          <cell r="I83">
            <v>182513.78620369601</v>
          </cell>
          <cell r="J83">
            <v>0</v>
          </cell>
          <cell r="K83">
            <v>0</v>
          </cell>
          <cell r="L83">
            <v>81577.320156689224</v>
          </cell>
          <cell r="M83">
            <v>59319.676384927567</v>
          </cell>
          <cell r="N83">
            <v>58025.924300405837</v>
          </cell>
          <cell r="O83">
            <v>0</v>
          </cell>
          <cell r="P83">
            <v>0</v>
          </cell>
          <cell r="R83">
            <v>69375.836746740591</v>
          </cell>
          <cell r="S83">
            <v>54629.386746740587</v>
          </cell>
          <cell r="T83">
            <v>146876.21024022176</v>
          </cell>
          <cell r="U83">
            <v>109114.27619794433</v>
          </cell>
          <cell r="V83">
            <v>109114.27619794433</v>
          </cell>
          <cell r="W83">
            <v>109114.27619794433</v>
          </cell>
          <cell r="X83">
            <v>109114.27619794433</v>
          </cell>
          <cell r="Y83">
            <v>163671.41429691651</v>
          </cell>
          <cell r="AA83">
            <v>0</v>
          </cell>
          <cell r="AB83">
            <v>0</v>
          </cell>
          <cell r="AC83">
            <v>545571.38098972163</v>
          </cell>
          <cell r="AD83">
            <v>172013.13192463786</v>
          </cell>
          <cell r="AE83">
            <v>0</v>
          </cell>
          <cell r="AF83">
            <v>0</v>
          </cell>
          <cell r="AG83">
            <v>327342.82859383302</v>
          </cell>
          <cell r="AH83">
            <v>103207.87915478271</v>
          </cell>
          <cell r="AI83">
            <v>436457.10479177732</v>
          </cell>
          <cell r="AJ83">
            <v>327342.82859383302</v>
          </cell>
          <cell r="AK83">
            <v>327342.82859383302</v>
          </cell>
          <cell r="AL83">
            <v>436457.10479177732</v>
          </cell>
          <cell r="AM83">
            <v>327342.82859383302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109114.27619794433</v>
          </cell>
          <cell r="AY83">
            <v>109114.27619794433</v>
          </cell>
          <cell r="AZ83">
            <v>654685.65718766605</v>
          </cell>
          <cell r="BA83">
            <v>0</v>
          </cell>
          <cell r="BB83">
            <v>0</v>
          </cell>
          <cell r="BC83">
            <v>0</v>
          </cell>
          <cell r="BD83">
            <v>1527599.8667712207</v>
          </cell>
          <cell r="BE83">
            <v>0</v>
          </cell>
          <cell r="BF83">
            <v>327342.82859383302</v>
          </cell>
          <cell r="BG83">
            <v>31804.1</v>
          </cell>
          <cell r="BH83">
            <v>78568</v>
          </cell>
          <cell r="BI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CA83">
            <v>0</v>
          </cell>
          <cell r="CB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O83">
            <v>0</v>
          </cell>
          <cell r="CU83">
            <v>0</v>
          </cell>
          <cell r="CX83">
            <v>0</v>
          </cell>
        </row>
        <row r="84">
          <cell r="G84">
            <v>173177.12015668923</v>
          </cell>
          <cell r="H84">
            <v>109114.27619794433</v>
          </cell>
          <cell r="I84">
            <v>112316.1761253514</v>
          </cell>
          <cell r="J84">
            <v>0</v>
          </cell>
          <cell r="K84">
            <v>0</v>
          </cell>
          <cell r="L84">
            <v>81577.320156689224</v>
          </cell>
          <cell r="M84">
            <v>59319.676384927567</v>
          </cell>
          <cell r="N84">
            <v>0</v>
          </cell>
          <cell r="O84">
            <v>0</v>
          </cell>
          <cell r="P84">
            <v>0</v>
          </cell>
          <cell r="R84">
            <v>69375.836746740591</v>
          </cell>
          <cell r="S84">
            <v>54629.386746740587</v>
          </cell>
          <cell r="T84">
            <v>97917.473493481171</v>
          </cell>
          <cell r="U84">
            <v>109114.27619794433</v>
          </cell>
          <cell r="V84">
            <v>109114.27619794433</v>
          </cell>
          <cell r="W84">
            <v>109114.27619794433</v>
          </cell>
          <cell r="X84">
            <v>109114.27619794433</v>
          </cell>
          <cell r="Y84">
            <v>0</v>
          </cell>
          <cell r="AA84">
            <v>218228.55239588866</v>
          </cell>
          <cell r="AB84">
            <v>68805.252769855142</v>
          </cell>
          <cell r="AC84">
            <v>109114.27619794433</v>
          </cell>
          <cell r="AD84">
            <v>34402.626384927571</v>
          </cell>
          <cell r="AE84">
            <v>218228.55239588866</v>
          </cell>
          <cell r="AF84">
            <v>68805.252769855142</v>
          </cell>
          <cell r="AG84">
            <v>218228.55239588866</v>
          </cell>
          <cell r="AH84">
            <v>68805.252769855142</v>
          </cell>
          <cell r="AI84">
            <v>218228.55239588866</v>
          </cell>
          <cell r="AJ84">
            <v>218228.55239588866</v>
          </cell>
          <cell r="AK84">
            <v>218228.55239588866</v>
          </cell>
          <cell r="AL84">
            <v>218228.55239588866</v>
          </cell>
          <cell r="AM84">
            <v>218228.55239588866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109114.27619794433</v>
          </cell>
          <cell r="AY84">
            <v>109114.27619794433</v>
          </cell>
          <cell r="AZ84">
            <v>327342.82859383302</v>
          </cell>
          <cell r="BA84">
            <v>0</v>
          </cell>
          <cell r="BB84">
            <v>0</v>
          </cell>
          <cell r="BC84">
            <v>0</v>
          </cell>
          <cell r="BD84">
            <v>9919.4796543585762</v>
          </cell>
          <cell r="BE84">
            <v>0</v>
          </cell>
          <cell r="BF84">
            <v>0</v>
          </cell>
          <cell r="BG84">
            <v>12721.400000000001</v>
          </cell>
          <cell r="BH84">
            <v>28060</v>
          </cell>
          <cell r="BI84">
            <v>6734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CA84">
            <v>0</v>
          </cell>
          <cell r="CB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O84">
            <v>0</v>
          </cell>
          <cell r="CU84">
            <v>0</v>
          </cell>
          <cell r="CX84">
            <v>0</v>
          </cell>
        </row>
        <row r="85">
          <cell r="G85">
            <v>173177.12015668923</v>
          </cell>
          <cell r="H85">
            <v>109114.27619794433</v>
          </cell>
          <cell r="I85">
            <v>182513.78620369601</v>
          </cell>
          <cell r="J85">
            <v>109114.27619794433</v>
          </cell>
          <cell r="K85">
            <v>0</v>
          </cell>
          <cell r="L85">
            <v>81577.320156689224</v>
          </cell>
          <cell r="M85">
            <v>59319.676384927567</v>
          </cell>
          <cell r="N85">
            <v>53562.391661913083</v>
          </cell>
          <cell r="O85">
            <v>0</v>
          </cell>
          <cell r="P85">
            <v>0</v>
          </cell>
          <cell r="R85">
            <v>69375.836746740591</v>
          </cell>
          <cell r="S85">
            <v>54629.386746740587</v>
          </cell>
          <cell r="T85">
            <v>97917.473493481171</v>
          </cell>
          <cell r="U85">
            <v>109114.27619794433</v>
          </cell>
          <cell r="V85">
            <v>109114.27619794433</v>
          </cell>
          <cell r="W85">
            <v>109114.27619794433</v>
          </cell>
          <cell r="X85">
            <v>109114.27619794433</v>
          </cell>
          <cell r="Y85">
            <v>163671.41429691686</v>
          </cell>
          <cell r="Z85">
            <v>54557.138098972166</v>
          </cell>
          <cell r="AA85">
            <v>327342.82859383302</v>
          </cell>
          <cell r="AB85">
            <v>103207.87915478271</v>
          </cell>
          <cell r="AC85">
            <v>0</v>
          </cell>
          <cell r="AD85">
            <v>0</v>
          </cell>
          <cell r="AE85">
            <v>327342.82859383302</v>
          </cell>
          <cell r="AF85">
            <v>103207.87915478271</v>
          </cell>
          <cell r="AG85">
            <v>327342.82859383302</v>
          </cell>
          <cell r="AH85">
            <v>103207.87915478271</v>
          </cell>
          <cell r="AI85">
            <v>327342.82859383302</v>
          </cell>
          <cell r="AJ85">
            <v>327342.82859383302</v>
          </cell>
          <cell r="AK85">
            <v>327342.82859383302</v>
          </cell>
          <cell r="AL85">
            <v>327342.82859383302</v>
          </cell>
          <cell r="AM85">
            <v>327342.82859383302</v>
          </cell>
          <cell r="AN85">
            <v>0</v>
          </cell>
          <cell r="AO85">
            <v>0</v>
          </cell>
          <cell r="AP85">
            <v>218228.55239588866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109114.27619794433</v>
          </cell>
          <cell r="AY85">
            <v>109114.27619794433</v>
          </cell>
          <cell r="AZ85">
            <v>654685.65718766605</v>
          </cell>
          <cell r="BA85">
            <v>0</v>
          </cell>
          <cell r="BB85">
            <v>0</v>
          </cell>
          <cell r="BC85">
            <v>0</v>
          </cell>
          <cell r="BD85">
            <v>1418485.5905732764</v>
          </cell>
          <cell r="BE85">
            <v>0</v>
          </cell>
          <cell r="BF85">
            <v>218228.55239588866</v>
          </cell>
          <cell r="BG85">
            <v>11974</v>
          </cell>
          <cell r="BH85">
            <v>39284</v>
          </cell>
          <cell r="BI85">
            <v>6734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CA85">
            <v>0</v>
          </cell>
          <cell r="CB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218228.55239588866</v>
          </cell>
          <cell r="CJ85">
            <v>0</v>
          </cell>
          <cell r="CO85">
            <v>0</v>
          </cell>
          <cell r="CU85">
            <v>0</v>
          </cell>
          <cell r="CX85">
            <v>0</v>
          </cell>
        </row>
        <row r="86">
          <cell r="G86">
            <v>173177.12015668923</v>
          </cell>
          <cell r="H86">
            <v>109114.27619794433</v>
          </cell>
          <cell r="I86">
            <v>0</v>
          </cell>
          <cell r="J86">
            <v>0</v>
          </cell>
          <cell r="K86">
            <v>0</v>
          </cell>
          <cell r="L86">
            <v>40788.660078344612</v>
          </cell>
          <cell r="M86">
            <v>59319.676384927567</v>
          </cell>
          <cell r="N86">
            <v>0</v>
          </cell>
          <cell r="O86">
            <v>0</v>
          </cell>
          <cell r="P86">
            <v>0</v>
          </cell>
          <cell r="R86">
            <v>69375.836746740591</v>
          </cell>
          <cell r="S86">
            <v>54629.386746740587</v>
          </cell>
          <cell r="T86">
            <v>48958.736746740586</v>
          </cell>
          <cell r="U86">
            <v>54557.138098972166</v>
          </cell>
          <cell r="V86">
            <v>109114.27619794433</v>
          </cell>
          <cell r="W86">
            <v>109114.27619794433</v>
          </cell>
          <cell r="X86">
            <v>109114.27619794433</v>
          </cell>
          <cell r="Y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600128.51908869378</v>
          </cell>
          <cell r="AW86">
            <v>0</v>
          </cell>
          <cell r="AX86">
            <v>109114.27619794433</v>
          </cell>
          <cell r="AY86">
            <v>54557.138098972166</v>
          </cell>
          <cell r="AZ86">
            <v>2291399.8001568308</v>
          </cell>
          <cell r="BA86">
            <v>791260.40685333416</v>
          </cell>
          <cell r="BB86">
            <v>48063.47638492757</v>
          </cell>
          <cell r="BC86">
            <v>0</v>
          </cell>
          <cell r="BD86">
            <v>109114.27619794433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6734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CA86">
            <v>0</v>
          </cell>
          <cell r="CB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218228.55239588866</v>
          </cell>
          <cell r="CJ86">
            <v>0</v>
          </cell>
          <cell r="CO86">
            <v>0</v>
          </cell>
          <cell r="CU86">
            <v>0</v>
          </cell>
          <cell r="CX86">
            <v>0</v>
          </cell>
        </row>
        <row r="87">
          <cell r="G87">
            <v>173177.12015668923</v>
          </cell>
          <cell r="H87">
            <v>109114.27619794433</v>
          </cell>
          <cell r="I87">
            <v>154434.74217235818</v>
          </cell>
          <cell r="J87">
            <v>0</v>
          </cell>
          <cell r="K87">
            <v>178335.88891943885</v>
          </cell>
          <cell r="L87">
            <v>81577.320156689224</v>
          </cell>
          <cell r="M87">
            <v>59319.676384927567</v>
          </cell>
          <cell r="N87">
            <v>0</v>
          </cell>
          <cell r="O87">
            <v>50130.026384927565</v>
          </cell>
          <cell r="P87">
            <v>62573.586746740584</v>
          </cell>
          <cell r="R87">
            <v>69375.836746740591</v>
          </cell>
          <cell r="S87">
            <v>54629.386746740587</v>
          </cell>
          <cell r="T87">
            <v>195834.94698696234</v>
          </cell>
          <cell r="U87">
            <v>109114.27619794433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1463949.8723224197</v>
          </cell>
          <cell r="AW87">
            <v>837207.8740323605</v>
          </cell>
          <cell r="AX87">
            <v>163671.41429691651</v>
          </cell>
          <cell r="AY87">
            <v>218228.55239588866</v>
          </cell>
          <cell r="AZ87">
            <v>982028.48578149895</v>
          </cell>
          <cell r="BA87">
            <v>0</v>
          </cell>
          <cell r="BB87">
            <v>0</v>
          </cell>
          <cell r="BC87">
            <v>0</v>
          </cell>
          <cell r="BD87">
            <v>109114.27619794433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109114.27619794433</v>
          </cell>
          <cell r="BT87">
            <v>0</v>
          </cell>
          <cell r="BU87">
            <v>0</v>
          </cell>
          <cell r="BV87">
            <v>140395.22015668923</v>
          </cell>
          <cell r="CA87">
            <v>0</v>
          </cell>
          <cell r="CB87">
            <v>0</v>
          </cell>
          <cell r="CD87">
            <v>218228.55239588866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O87">
            <v>105202</v>
          </cell>
          <cell r="CU87">
            <v>105202</v>
          </cell>
          <cell r="CX87">
            <v>0</v>
          </cell>
        </row>
        <row r="88">
          <cell r="G88">
            <v>173177.12015668923</v>
          </cell>
          <cell r="H88">
            <v>109114.27619794433</v>
          </cell>
          <cell r="I88">
            <v>322909.00636038522</v>
          </cell>
          <cell r="J88">
            <v>0</v>
          </cell>
          <cell r="K88">
            <v>356671.77783887769</v>
          </cell>
          <cell r="L88">
            <v>81577.320156689224</v>
          </cell>
          <cell r="M88">
            <v>59319.676384927567</v>
          </cell>
          <cell r="N88">
            <v>75880.054854376867</v>
          </cell>
          <cell r="O88">
            <v>50130.026384927565</v>
          </cell>
          <cell r="P88">
            <v>62573.586746740584</v>
          </cell>
          <cell r="R88">
            <v>69375.836746740591</v>
          </cell>
          <cell r="S88">
            <v>54629.386746740587</v>
          </cell>
          <cell r="T88">
            <v>391669.89397392469</v>
          </cell>
          <cell r="U88">
            <v>109114.27619794433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3096117.5871166703</v>
          </cell>
          <cell r="AW88">
            <v>603806.53600932984</v>
          </cell>
          <cell r="AX88">
            <v>109114.27619794433</v>
          </cell>
          <cell r="AY88">
            <v>436457.10479177732</v>
          </cell>
          <cell r="AZ88">
            <v>1636714.142969165</v>
          </cell>
          <cell r="BA88">
            <v>275221.01107942057</v>
          </cell>
          <cell r="BB88">
            <v>96126.952769855139</v>
          </cell>
          <cell r="BC88">
            <v>0</v>
          </cell>
          <cell r="BD88">
            <v>1418485.5905732764</v>
          </cell>
          <cell r="BE88">
            <v>34402.626384927571</v>
          </cell>
          <cell r="BF88">
            <v>237781.18522591845</v>
          </cell>
          <cell r="BG88">
            <v>0</v>
          </cell>
          <cell r="BH88">
            <v>0</v>
          </cell>
          <cell r="BI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140395.22015668923</v>
          </cell>
          <cell r="CA88">
            <v>0</v>
          </cell>
          <cell r="CB88">
            <v>0</v>
          </cell>
          <cell r="CD88">
            <v>218228.55239588866</v>
          </cell>
          <cell r="CE88">
            <v>0</v>
          </cell>
          <cell r="CF88">
            <v>0</v>
          </cell>
          <cell r="CG88">
            <v>0</v>
          </cell>
          <cell r="CH88">
            <v>109114.27619794433</v>
          </cell>
          <cell r="CI88">
            <v>0</v>
          </cell>
          <cell r="CJ88">
            <v>0</v>
          </cell>
          <cell r="CO88">
            <v>105202</v>
          </cell>
          <cell r="CU88">
            <v>105202</v>
          </cell>
          <cell r="CX88">
            <v>105202</v>
          </cell>
        </row>
        <row r="89">
          <cell r="G89">
            <v>173177.12015668923</v>
          </cell>
          <cell r="H89">
            <v>109114.27619794433</v>
          </cell>
          <cell r="I89">
            <v>140395.22015668923</v>
          </cell>
          <cell r="J89">
            <v>0</v>
          </cell>
          <cell r="K89">
            <v>273329.47241719323</v>
          </cell>
          <cell r="L89">
            <v>0</v>
          </cell>
          <cell r="M89">
            <v>59319.676384927567</v>
          </cell>
          <cell r="N89">
            <v>71416.522215884106</v>
          </cell>
          <cell r="O89">
            <v>50130.026384927565</v>
          </cell>
          <cell r="P89">
            <v>62573.586746740584</v>
          </cell>
          <cell r="R89">
            <v>69375.836746740591</v>
          </cell>
          <cell r="S89">
            <v>54629.386746740587</v>
          </cell>
          <cell r="T89">
            <v>48958.736746740586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2596010.4878760925</v>
          </cell>
          <cell r="AX89">
            <v>109114.27619794433</v>
          </cell>
          <cell r="AY89">
            <v>218228.55239588866</v>
          </cell>
          <cell r="AZ89">
            <v>763799.93338561035</v>
          </cell>
          <cell r="BA89">
            <v>0</v>
          </cell>
          <cell r="BB89">
            <v>0</v>
          </cell>
          <cell r="BC89">
            <v>0</v>
          </cell>
          <cell r="BD89">
            <v>982028.48578149895</v>
          </cell>
          <cell r="BE89">
            <v>0</v>
          </cell>
          <cell r="BF89">
            <v>218228.55239588866</v>
          </cell>
          <cell r="BG89">
            <v>0</v>
          </cell>
          <cell r="BH89">
            <v>0</v>
          </cell>
          <cell r="BI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CA89">
            <v>0</v>
          </cell>
          <cell r="CB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O89">
            <v>0</v>
          </cell>
          <cell r="CT89">
            <v>105202</v>
          </cell>
          <cell r="CX89">
            <v>0</v>
          </cell>
        </row>
        <row r="90">
          <cell r="G90">
            <v>173177.12015668923</v>
          </cell>
          <cell r="H90">
            <v>109114.27619794433</v>
          </cell>
          <cell r="I90">
            <v>0</v>
          </cell>
          <cell r="J90">
            <v>0</v>
          </cell>
          <cell r="K90">
            <v>0</v>
          </cell>
          <cell r="L90">
            <v>40788.660078344612</v>
          </cell>
          <cell r="M90">
            <v>59319.676384927567</v>
          </cell>
          <cell r="N90">
            <v>0</v>
          </cell>
          <cell r="O90">
            <v>0</v>
          </cell>
          <cell r="P90">
            <v>0</v>
          </cell>
          <cell r="R90">
            <v>69375.836746740591</v>
          </cell>
          <cell r="S90">
            <v>54629.386746740587</v>
          </cell>
          <cell r="T90">
            <v>48958.736746740586</v>
          </cell>
          <cell r="U90">
            <v>54557.138098972166</v>
          </cell>
          <cell r="V90">
            <v>109114.27619794433</v>
          </cell>
          <cell r="W90">
            <v>109114.27619794433</v>
          </cell>
          <cell r="X90">
            <v>109114.27619794433</v>
          </cell>
          <cell r="Y90">
            <v>-3.3469405025243759E-10</v>
          </cell>
          <cell r="Z90">
            <v>109114.27619794433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109114.27619794433</v>
          </cell>
          <cell r="AF90">
            <v>34402.626384927571</v>
          </cell>
          <cell r="AG90">
            <v>218228.55239588866</v>
          </cell>
          <cell r="AH90">
            <v>68805.252769855142</v>
          </cell>
          <cell r="AI90">
            <v>218228.55239588866</v>
          </cell>
          <cell r="AJ90">
            <v>218228.55239588866</v>
          </cell>
          <cell r="AK90">
            <v>218228.55239588866</v>
          </cell>
          <cell r="AL90">
            <v>109114.27619794433</v>
          </cell>
          <cell r="AM90">
            <v>109114.27619794433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W90">
            <v>0</v>
          </cell>
          <cell r="AX90">
            <v>54557.138098972166</v>
          </cell>
          <cell r="AY90">
            <v>54557.138098972166</v>
          </cell>
          <cell r="AZ90">
            <v>109114.27619794433</v>
          </cell>
          <cell r="BA90">
            <v>0</v>
          </cell>
          <cell r="BB90">
            <v>0</v>
          </cell>
          <cell r="BC90">
            <v>0</v>
          </cell>
          <cell r="BD90">
            <v>218228.55239588866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CA90">
            <v>0</v>
          </cell>
          <cell r="CB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O90">
            <v>0</v>
          </cell>
          <cell r="CU90">
            <v>0</v>
          </cell>
          <cell r="CX90">
            <v>0</v>
          </cell>
        </row>
        <row r="91">
          <cell r="G91">
            <v>173177.12015668923</v>
          </cell>
          <cell r="H91">
            <v>109114.27619794433</v>
          </cell>
          <cell r="I91">
            <v>0</v>
          </cell>
          <cell r="J91">
            <v>0</v>
          </cell>
          <cell r="K91">
            <v>0</v>
          </cell>
          <cell r="L91">
            <v>40788.660078344612</v>
          </cell>
          <cell r="M91">
            <v>59319.676384927567</v>
          </cell>
          <cell r="N91">
            <v>0</v>
          </cell>
          <cell r="O91">
            <v>0</v>
          </cell>
          <cell r="P91">
            <v>0</v>
          </cell>
          <cell r="R91">
            <v>69375.836746740591</v>
          </cell>
          <cell r="S91">
            <v>54629.386746740587</v>
          </cell>
          <cell r="T91">
            <v>48958.736746740586</v>
          </cell>
          <cell r="U91">
            <v>54557.138098972166</v>
          </cell>
          <cell r="V91">
            <v>109114.27619794433</v>
          </cell>
          <cell r="W91">
            <v>109114.27619794433</v>
          </cell>
          <cell r="X91">
            <v>109114.27619794433</v>
          </cell>
          <cell r="Y91">
            <v>0</v>
          </cell>
          <cell r="AA91">
            <v>218228.55239588866</v>
          </cell>
          <cell r="AB91">
            <v>68805.252769855142</v>
          </cell>
          <cell r="AC91">
            <v>0</v>
          </cell>
          <cell r="AD91">
            <v>0</v>
          </cell>
          <cell r="AE91">
            <v>218228.55239588866</v>
          </cell>
          <cell r="AF91">
            <v>68805.252769855142</v>
          </cell>
          <cell r="AG91">
            <v>218228.55239588866</v>
          </cell>
          <cell r="AH91">
            <v>68805.252769855142</v>
          </cell>
          <cell r="AI91">
            <v>218228.55239588866</v>
          </cell>
          <cell r="AJ91">
            <v>218228.55239588866</v>
          </cell>
          <cell r="AK91">
            <v>218228.55239588866</v>
          </cell>
          <cell r="AL91">
            <v>218228.55239588866</v>
          </cell>
          <cell r="AM91">
            <v>109114.27619794433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54557.138098972166</v>
          </cell>
          <cell r="AY91">
            <v>109114.27619794433</v>
          </cell>
          <cell r="AZ91">
            <v>327342.82859383302</v>
          </cell>
          <cell r="BA91">
            <v>0</v>
          </cell>
          <cell r="BB91">
            <v>0</v>
          </cell>
          <cell r="BC91">
            <v>0</v>
          </cell>
          <cell r="BD91">
            <v>9919.4796543585762</v>
          </cell>
          <cell r="BE91">
            <v>0</v>
          </cell>
          <cell r="BF91">
            <v>0</v>
          </cell>
          <cell r="BG91">
            <v>6360.9</v>
          </cell>
          <cell r="BH91">
            <v>16836</v>
          </cell>
          <cell r="BI91">
            <v>6734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CA91">
            <v>0</v>
          </cell>
          <cell r="CB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O91">
            <v>0</v>
          </cell>
          <cell r="CU91">
            <v>0</v>
          </cell>
          <cell r="CX91">
            <v>0</v>
          </cell>
        </row>
        <row r="92">
          <cell r="G92">
            <v>86588.560078344613</v>
          </cell>
          <cell r="H92">
            <v>109114.27619794433</v>
          </cell>
          <cell r="I92">
            <v>336948.52837605414</v>
          </cell>
          <cell r="J92">
            <v>109114.27619794433</v>
          </cell>
          <cell r="K92">
            <v>0</v>
          </cell>
          <cell r="L92">
            <v>81577.320156689224</v>
          </cell>
          <cell r="M92">
            <v>59319.676384927567</v>
          </cell>
          <cell r="N92">
            <v>53562.391661913083</v>
          </cell>
          <cell r="O92">
            <v>0</v>
          </cell>
          <cell r="P92">
            <v>0</v>
          </cell>
          <cell r="R92">
            <v>69375.836746740591</v>
          </cell>
          <cell r="S92">
            <v>54629.386746740587</v>
          </cell>
          <cell r="T92">
            <v>97917.473493481171</v>
          </cell>
          <cell r="U92">
            <v>109114.27619794433</v>
          </cell>
          <cell r="V92">
            <v>109114.27619794433</v>
          </cell>
          <cell r="W92">
            <v>109114.27619794433</v>
          </cell>
          <cell r="X92">
            <v>109114.27619794433</v>
          </cell>
          <cell r="Y92">
            <v>0</v>
          </cell>
          <cell r="AA92">
            <v>218228.55239588866</v>
          </cell>
          <cell r="AB92">
            <v>68805.252769855142</v>
          </cell>
          <cell r="AC92">
            <v>109114.27619794433</v>
          </cell>
          <cell r="AD92">
            <v>34402.626384927571</v>
          </cell>
          <cell r="AE92">
            <v>218228.55239588866</v>
          </cell>
          <cell r="AF92">
            <v>68805.252769855142</v>
          </cell>
          <cell r="AG92">
            <v>218228.55239588866</v>
          </cell>
          <cell r="AH92">
            <v>68805.252769855142</v>
          </cell>
          <cell r="AI92">
            <v>218228.55239588866</v>
          </cell>
          <cell r="AJ92">
            <v>218228.55239588866</v>
          </cell>
          <cell r="AK92">
            <v>218228.55239588866</v>
          </cell>
          <cell r="AL92">
            <v>218228.55239588866</v>
          </cell>
          <cell r="AM92">
            <v>218228.55239588866</v>
          </cell>
          <cell r="AN92">
            <v>360077.11145321629</v>
          </cell>
          <cell r="AO92">
            <v>316431.40097403852</v>
          </cell>
          <cell r="AP92">
            <v>250962.83525527193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W92">
            <v>0</v>
          </cell>
          <cell r="AX92">
            <v>54557.138098972166</v>
          </cell>
          <cell r="AY92">
            <v>109114.27619794433</v>
          </cell>
          <cell r="AZ92">
            <v>982028.48578149895</v>
          </cell>
          <cell r="BA92">
            <v>172013.13192463786</v>
          </cell>
          <cell r="BB92">
            <v>0</v>
          </cell>
          <cell r="BC92">
            <v>105202</v>
          </cell>
          <cell r="BD92">
            <v>327342.82859383302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CA92">
            <v>0</v>
          </cell>
          <cell r="CB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218228.55239588866</v>
          </cell>
          <cell r="CJ92">
            <v>0</v>
          </cell>
          <cell r="CO92">
            <v>0</v>
          </cell>
          <cell r="CU92">
            <v>0</v>
          </cell>
          <cell r="CX92">
            <v>0</v>
          </cell>
        </row>
        <row r="93">
          <cell r="G93">
            <v>86588.560078344613</v>
          </cell>
          <cell r="H93">
            <v>109114.27619794433</v>
          </cell>
          <cell r="I93">
            <v>280790.44031337847</v>
          </cell>
          <cell r="J93">
            <v>0</v>
          </cell>
          <cell r="K93">
            <v>297226.48153239809</v>
          </cell>
          <cell r="L93">
            <v>81577.320156689224</v>
          </cell>
          <cell r="M93">
            <v>59319.676384927567</v>
          </cell>
          <cell r="N93">
            <v>66952.989577391359</v>
          </cell>
          <cell r="O93">
            <v>50130.026384927565</v>
          </cell>
          <cell r="P93">
            <v>62573.586746740584</v>
          </cell>
          <cell r="R93">
            <v>69375.836746740591</v>
          </cell>
          <cell r="S93">
            <v>54629.386746740587</v>
          </cell>
          <cell r="T93">
            <v>146876.21024022176</v>
          </cell>
          <cell r="U93">
            <v>109114.27619794433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709242.7952866382</v>
          </cell>
          <cell r="AR93">
            <v>654685.65718766605</v>
          </cell>
          <cell r="AS93">
            <v>687419.94004704931</v>
          </cell>
          <cell r="AT93">
            <v>698331.36766684381</v>
          </cell>
          <cell r="AU93">
            <v>0</v>
          </cell>
          <cell r="AW93">
            <v>0</v>
          </cell>
          <cell r="AX93">
            <v>54557.138098972166</v>
          </cell>
          <cell r="AY93">
            <v>109114.27619794433</v>
          </cell>
          <cell r="AZ93">
            <v>218228.55239588866</v>
          </cell>
          <cell r="BA93">
            <v>68805.252769855142</v>
          </cell>
          <cell r="BB93">
            <v>0</v>
          </cell>
          <cell r="BC93">
            <v>52601</v>
          </cell>
          <cell r="BD93">
            <v>19838.959308717152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CA93">
            <v>0</v>
          </cell>
          <cell r="CB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O93">
            <v>105202</v>
          </cell>
          <cell r="CU93">
            <v>0</v>
          </cell>
          <cell r="CX93">
            <v>0</v>
          </cell>
        </row>
        <row r="94">
          <cell r="G94">
            <v>173177.12015668923</v>
          </cell>
          <cell r="H94">
            <v>109114.27619794433</v>
          </cell>
          <cell r="I94">
            <v>112316.1761253514</v>
          </cell>
          <cell r="J94">
            <v>0</v>
          </cell>
          <cell r="K94">
            <v>0</v>
          </cell>
          <cell r="L94">
            <v>81577.320156689224</v>
          </cell>
          <cell r="M94">
            <v>59319.676384927567</v>
          </cell>
          <cell r="N94">
            <v>0</v>
          </cell>
          <cell r="O94">
            <v>0</v>
          </cell>
          <cell r="P94">
            <v>0</v>
          </cell>
          <cell r="R94">
            <v>69375.836746740591</v>
          </cell>
          <cell r="S94">
            <v>54629.386746740587</v>
          </cell>
          <cell r="T94">
            <v>97917.473493481171</v>
          </cell>
          <cell r="U94">
            <v>109114.27619794433</v>
          </cell>
          <cell r="V94">
            <v>109114.27619794433</v>
          </cell>
          <cell r="W94">
            <v>109114.27619794433</v>
          </cell>
          <cell r="X94">
            <v>109114.27619794433</v>
          </cell>
          <cell r="Y94">
            <v>0</v>
          </cell>
          <cell r="AA94">
            <v>218228.55239588866</v>
          </cell>
          <cell r="AB94">
            <v>68805.252769855142</v>
          </cell>
          <cell r="AC94">
            <v>0</v>
          </cell>
          <cell r="AD94">
            <v>0</v>
          </cell>
          <cell r="AE94">
            <v>218228.55239588866</v>
          </cell>
          <cell r="AF94">
            <v>68805.252769855142</v>
          </cell>
          <cell r="AG94">
            <v>218228.55239588866</v>
          </cell>
          <cell r="AH94">
            <v>68805.252769855142</v>
          </cell>
          <cell r="AI94">
            <v>218228.55239588866</v>
          </cell>
          <cell r="AJ94">
            <v>218228.55239588866</v>
          </cell>
          <cell r="AK94">
            <v>218228.55239588866</v>
          </cell>
          <cell r="AL94">
            <v>218228.55239588866</v>
          </cell>
          <cell r="AM94">
            <v>109114.27619794433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54557.138098972166</v>
          </cell>
          <cell r="AY94">
            <v>218228.55239588866</v>
          </cell>
          <cell r="AZ94">
            <v>872914.20958355465</v>
          </cell>
          <cell r="BA94">
            <v>275221.01107942057</v>
          </cell>
          <cell r="BB94">
            <v>0</v>
          </cell>
          <cell r="BC94">
            <v>0</v>
          </cell>
          <cell r="BD94">
            <v>9919.4796543585762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CA94">
            <v>0</v>
          </cell>
          <cell r="CB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O94">
            <v>0</v>
          </cell>
          <cell r="CU94">
            <v>0</v>
          </cell>
          <cell r="CX94">
            <v>0</v>
          </cell>
        </row>
        <row r="95">
          <cell r="G95">
            <v>173177.12015668923</v>
          </cell>
          <cell r="H95">
            <v>109114.27619794433</v>
          </cell>
          <cell r="I95">
            <v>140395.22015668923</v>
          </cell>
          <cell r="J95">
            <v>0</v>
          </cell>
          <cell r="K95">
            <v>0</v>
          </cell>
          <cell r="L95">
            <v>81577.320156689224</v>
          </cell>
          <cell r="M95">
            <v>59319.676384927567</v>
          </cell>
          <cell r="N95">
            <v>44635.326384927568</v>
          </cell>
          <cell r="O95">
            <v>0</v>
          </cell>
          <cell r="P95">
            <v>0</v>
          </cell>
          <cell r="R95">
            <v>69375.836746740591</v>
          </cell>
          <cell r="S95">
            <v>54629.386746740587</v>
          </cell>
          <cell r="T95">
            <v>97917.473493481171</v>
          </cell>
          <cell r="U95">
            <v>109114.27619794433</v>
          </cell>
          <cell r="V95">
            <v>109114.27619794433</v>
          </cell>
          <cell r="W95">
            <v>109114.27619794433</v>
          </cell>
          <cell r="X95">
            <v>109114.27619794433</v>
          </cell>
          <cell r="Y95">
            <v>163671.41429691666</v>
          </cell>
          <cell r="Z95">
            <v>109114.27619794433</v>
          </cell>
          <cell r="AA95">
            <v>327342.82859383302</v>
          </cell>
          <cell r="AB95">
            <v>103207.87915478271</v>
          </cell>
          <cell r="AC95">
            <v>0</v>
          </cell>
          <cell r="AD95">
            <v>0</v>
          </cell>
          <cell r="AE95">
            <v>327342.82859383302</v>
          </cell>
          <cell r="AF95">
            <v>103207.87915478271</v>
          </cell>
          <cell r="AG95">
            <v>327342.82859383302</v>
          </cell>
          <cell r="AH95">
            <v>103207.87915478271</v>
          </cell>
          <cell r="AI95">
            <v>218228.55239588866</v>
          </cell>
          <cell r="AJ95">
            <v>327342.82859383302</v>
          </cell>
          <cell r="AK95">
            <v>218228.55239588866</v>
          </cell>
          <cell r="AL95">
            <v>218228.55239588866</v>
          </cell>
          <cell r="AM95">
            <v>218228.55239588866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W95">
            <v>0</v>
          </cell>
          <cell r="AX95">
            <v>109114.27619794433</v>
          </cell>
          <cell r="AY95">
            <v>109114.27619794433</v>
          </cell>
          <cell r="AZ95">
            <v>763799.93338561035</v>
          </cell>
          <cell r="BA95">
            <v>275221.01107942057</v>
          </cell>
          <cell r="BB95">
            <v>0</v>
          </cell>
          <cell r="BC95">
            <v>105202</v>
          </cell>
          <cell r="BD95">
            <v>872914.20958355465</v>
          </cell>
          <cell r="BE95">
            <v>0</v>
          </cell>
          <cell r="BF95">
            <v>109114.27619794433</v>
          </cell>
          <cell r="BG95">
            <v>12721.8</v>
          </cell>
          <cell r="BH95">
            <v>33672</v>
          </cell>
          <cell r="BI95">
            <v>6734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CA95">
            <v>0</v>
          </cell>
          <cell r="CB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O95">
            <v>0</v>
          </cell>
          <cell r="CU95">
            <v>0</v>
          </cell>
          <cell r="CX95">
            <v>0</v>
          </cell>
        </row>
        <row r="96">
          <cell r="G96">
            <v>173177.12015668923</v>
          </cell>
          <cell r="H96">
            <v>109114.27619794433</v>
          </cell>
          <cell r="I96">
            <v>140395.22015668923</v>
          </cell>
          <cell r="J96">
            <v>0</v>
          </cell>
          <cell r="K96">
            <v>0</v>
          </cell>
          <cell r="L96">
            <v>81577.320156689224</v>
          </cell>
          <cell r="M96">
            <v>59319.676384927567</v>
          </cell>
          <cell r="N96">
            <v>0</v>
          </cell>
          <cell r="O96">
            <v>0</v>
          </cell>
          <cell r="P96">
            <v>0</v>
          </cell>
          <cell r="R96">
            <v>69375.836746740591</v>
          </cell>
          <cell r="S96">
            <v>54629.386746740587</v>
          </cell>
          <cell r="T96">
            <v>97917.473493481171</v>
          </cell>
          <cell r="U96">
            <v>109114.27619794433</v>
          </cell>
          <cell r="V96">
            <v>109114.27619794433</v>
          </cell>
          <cell r="W96">
            <v>109114.27619794433</v>
          </cell>
          <cell r="X96">
            <v>109114.27619794433</v>
          </cell>
          <cell r="Y96">
            <v>-3.3469405025243759E-10</v>
          </cell>
          <cell r="Z96">
            <v>109114.27619794433</v>
          </cell>
          <cell r="AA96">
            <v>218228.55239588866</v>
          </cell>
          <cell r="AB96">
            <v>68805.252769855142</v>
          </cell>
          <cell r="AC96">
            <v>0</v>
          </cell>
          <cell r="AD96">
            <v>0</v>
          </cell>
          <cell r="AE96">
            <v>218228.55239588866</v>
          </cell>
          <cell r="AF96">
            <v>68805.252769855142</v>
          </cell>
          <cell r="AG96">
            <v>218228.55239588866</v>
          </cell>
          <cell r="AH96">
            <v>68805.252769855142</v>
          </cell>
          <cell r="AI96">
            <v>218228.55239588866</v>
          </cell>
          <cell r="AJ96">
            <v>218228.55239588866</v>
          </cell>
          <cell r="AK96">
            <v>327342.82859383302</v>
          </cell>
          <cell r="AL96">
            <v>327342.82859383302</v>
          </cell>
          <cell r="AM96">
            <v>218228.55239588866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W96">
            <v>0</v>
          </cell>
          <cell r="AX96">
            <v>54557.138098972166</v>
          </cell>
          <cell r="AY96">
            <v>109114.27619794433</v>
          </cell>
          <cell r="AZ96">
            <v>218228.55239588866</v>
          </cell>
          <cell r="BA96">
            <v>0</v>
          </cell>
          <cell r="BB96">
            <v>0</v>
          </cell>
          <cell r="BC96">
            <v>0</v>
          </cell>
          <cell r="BD96">
            <v>218228.55239588866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P96">
            <v>105202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CA96">
            <v>0</v>
          </cell>
          <cell r="CB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O96">
            <v>0</v>
          </cell>
          <cell r="CU96">
            <v>0</v>
          </cell>
          <cell r="CX96">
            <v>0</v>
          </cell>
        </row>
        <row r="97">
          <cell r="G97">
            <v>173177.12015668923</v>
          </cell>
          <cell r="H97">
            <v>109114.27619794433</v>
          </cell>
          <cell r="I97">
            <v>0</v>
          </cell>
          <cell r="J97">
            <v>0</v>
          </cell>
          <cell r="K97">
            <v>0</v>
          </cell>
          <cell r="L97">
            <v>40788.660078344612</v>
          </cell>
          <cell r="M97">
            <v>59319.676384927567</v>
          </cell>
          <cell r="N97">
            <v>0</v>
          </cell>
          <cell r="O97">
            <v>0</v>
          </cell>
          <cell r="P97">
            <v>0</v>
          </cell>
          <cell r="R97">
            <v>69375.836746740591</v>
          </cell>
          <cell r="S97">
            <v>54629.386746740587</v>
          </cell>
          <cell r="T97">
            <v>48958.736746740586</v>
          </cell>
          <cell r="U97">
            <v>54557.138098972166</v>
          </cell>
          <cell r="V97">
            <v>109114.27619794433</v>
          </cell>
          <cell r="W97">
            <v>109114.27619794433</v>
          </cell>
          <cell r="X97">
            <v>109114.27619794433</v>
          </cell>
          <cell r="Y97">
            <v>0</v>
          </cell>
          <cell r="AA97">
            <v>109114.27619794433</v>
          </cell>
          <cell r="AB97">
            <v>34402.626384927571</v>
          </cell>
          <cell r="AC97">
            <v>109114.27619794433</v>
          </cell>
          <cell r="AD97">
            <v>34402.626384927571</v>
          </cell>
          <cell r="AE97">
            <v>109114.27619794433</v>
          </cell>
          <cell r="AF97">
            <v>34402.626384927571</v>
          </cell>
          <cell r="AG97">
            <v>218228.55239588866</v>
          </cell>
          <cell r="AH97">
            <v>68805.252769855142</v>
          </cell>
          <cell r="AI97">
            <v>218228.55239588866</v>
          </cell>
          <cell r="AJ97">
            <v>218228.55239588866</v>
          </cell>
          <cell r="AK97">
            <v>218228.55239588866</v>
          </cell>
          <cell r="AL97">
            <v>218228.55239588866</v>
          </cell>
          <cell r="AM97">
            <v>218228.55239588866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0</v>
          </cell>
          <cell r="AX97">
            <v>109114.27619794433</v>
          </cell>
          <cell r="AY97">
            <v>109114.27619794433</v>
          </cell>
          <cell r="AZ97">
            <v>436457.10479177732</v>
          </cell>
          <cell r="BA97">
            <v>68805.252769855142</v>
          </cell>
          <cell r="BB97">
            <v>0</v>
          </cell>
          <cell r="BC97">
            <v>0</v>
          </cell>
          <cell r="BD97">
            <v>29758.438963075725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CA97">
            <v>0</v>
          </cell>
          <cell r="CB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O97">
            <v>0</v>
          </cell>
          <cell r="CU97">
            <v>0</v>
          </cell>
          <cell r="CX97">
            <v>0</v>
          </cell>
        </row>
        <row r="98">
          <cell r="G98">
            <v>173177.12015668923</v>
          </cell>
          <cell r="H98">
            <v>109114.27619794433</v>
          </cell>
          <cell r="I98">
            <v>0</v>
          </cell>
          <cell r="J98">
            <v>0</v>
          </cell>
          <cell r="K98">
            <v>0</v>
          </cell>
          <cell r="L98">
            <v>40788.660078344612</v>
          </cell>
          <cell r="M98">
            <v>59319.676384927567</v>
          </cell>
          <cell r="N98">
            <v>0</v>
          </cell>
          <cell r="O98">
            <v>0</v>
          </cell>
          <cell r="P98">
            <v>0</v>
          </cell>
          <cell r="R98">
            <v>69375.836746740591</v>
          </cell>
          <cell r="S98">
            <v>54629.386746740587</v>
          </cell>
          <cell r="T98">
            <v>48958.736746740586</v>
          </cell>
          <cell r="U98">
            <v>54557.138098972166</v>
          </cell>
          <cell r="V98">
            <v>109114.27619794433</v>
          </cell>
          <cell r="W98">
            <v>109114.27619794433</v>
          </cell>
          <cell r="X98">
            <v>109114.27619794433</v>
          </cell>
          <cell r="Y98">
            <v>0</v>
          </cell>
          <cell r="AA98">
            <v>218228.55239588866</v>
          </cell>
          <cell r="AB98">
            <v>68805.252769855142</v>
          </cell>
          <cell r="AC98">
            <v>0</v>
          </cell>
          <cell r="AD98">
            <v>0</v>
          </cell>
          <cell r="AE98">
            <v>218228.55239588866</v>
          </cell>
          <cell r="AF98">
            <v>68805.252769855142</v>
          </cell>
          <cell r="AG98">
            <v>218228.55239588866</v>
          </cell>
          <cell r="AH98">
            <v>68805.252769855142</v>
          </cell>
          <cell r="AI98">
            <v>218228.55239588866</v>
          </cell>
          <cell r="AJ98">
            <v>218228.55239588866</v>
          </cell>
          <cell r="AK98">
            <v>218228.55239588866</v>
          </cell>
          <cell r="AL98">
            <v>109114.27619794433</v>
          </cell>
          <cell r="AM98">
            <v>109114.27619794433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109114.27619794433</v>
          </cell>
          <cell r="AY98">
            <v>109114.27619794433</v>
          </cell>
          <cell r="AZ98">
            <v>654685.65718766605</v>
          </cell>
          <cell r="BA98">
            <v>103207.87915478271</v>
          </cell>
          <cell r="BB98">
            <v>0</v>
          </cell>
          <cell r="BC98">
            <v>0</v>
          </cell>
          <cell r="BD98">
            <v>109114.27619794433</v>
          </cell>
          <cell r="BE98">
            <v>0</v>
          </cell>
          <cell r="BF98">
            <v>0</v>
          </cell>
          <cell r="BG98">
            <v>12347</v>
          </cell>
          <cell r="BH98">
            <v>22448</v>
          </cell>
          <cell r="BI98">
            <v>6734</v>
          </cell>
          <cell r="BP98">
            <v>11597.1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CA98">
            <v>109114.27619794433</v>
          </cell>
          <cell r="CB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O98">
            <v>0</v>
          </cell>
          <cell r="CU98">
            <v>0</v>
          </cell>
          <cell r="CX98">
            <v>0</v>
          </cell>
        </row>
        <row r="99">
          <cell r="G99">
            <v>173177.12015668923</v>
          </cell>
          <cell r="H99">
            <v>109114.27619794433</v>
          </cell>
          <cell r="I99">
            <v>112316.1761253514</v>
          </cell>
          <cell r="J99">
            <v>109114.27619794433</v>
          </cell>
          <cell r="K99">
            <v>0</v>
          </cell>
          <cell r="L99">
            <v>40788.660078344612</v>
          </cell>
          <cell r="M99">
            <v>59319.676384927567</v>
          </cell>
          <cell r="N99">
            <v>0</v>
          </cell>
          <cell r="O99">
            <v>0</v>
          </cell>
          <cell r="P99">
            <v>0</v>
          </cell>
          <cell r="R99">
            <v>69375.836746740591</v>
          </cell>
          <cell r="S99">
            <v>54629.386746740587</v>
          </cell>
          <cell r="T99">
            <v>146876.21024022176</v>
          </cell>
          <cell r="U99">
            <v>54557.138098972166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458279.96003136621</v>
          </cell>
          <cell r="AO99">
            <v>425545.67717198288</v>
          </cell>
          <cell r="AP99">
            <v>349165.68383342191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109114.27619794433</v>
          </cell>
          <cell r="AY99">
            <v>218228.55239588866</v>
          </cell>
          <cell r="AZ99">
            <v>654685.65718766605</v>
          </cell>
          <cell r="BA99">
            <v>68805.252769855142</v>
          </cell>
          <cell r="BB99">
            <v>0</v>
          </cell>
          <cell r="BC99">
            <v>0</v>
          </cell>
          <cell r="BD99">
            <v>24798.699135896437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P99">
            <v>0</v>
          </cell>
          <cell r="BQ99">
            <v>109114.27619794433</v>
          </cell>
          <cell r="BR99">
            <v>140395.22015668923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CA99">
            <v>0</v>
          </cell>
          <cell r="CB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218228.55239588866</v>
          </cell>
          <cell r="CJ99">
            <v>0</v>
          </cell>
          <cell r="CO99">
            <v>0</v>
          </cell>
          <cell r="CU99">
            <v>0</v>
          </cell>
          <cell r="CX99">
            <v>0</v>
          </cell>
        </row>
        <row r="100">
          <cell r="G100">
            <v>173177.12015668923</v>
          </cell>
          <cell r="H100">
            <v>109114.27619794433</v>
          </cell>
          <cell r="I100">
            <v>154434.74217235818</v>
          </cell>
          <cell r="J100">
            <v>0</v>
          </cell>
          <cell r="K100">
            <v>0</v>
          </cell>
          <cell r="L100">
            <v>81577.320156689224</v>
          </cell>
          <cell r="M100">
            <v>59319.676384927567</v>
          </cell>
          <cell r="N100">
            <v>49098.859023420329</v>
          </cell>
          <cell r="O100">
            <v>0</v>
          </cell>
          <cell r="P100">
            <v>0</v>
          </cell>
          <cell r="R100">
            <v>69375.836746740591</v>
          </cell>
          <cell r="S100">
            <v>54629.386746740587</v>
          </cell>
          <cell r="T100">
            <v>97917.473493481171</v>
          </cell>
          <cell r="U100">
            <v>109114.27619794433</v>
          </cell>
          <cell r="V100">
            <v>109114.27619794433</v>
          </cell>
          <cell r="W100">
            <v>109114.27619794433</v>
          </cell>
          <cell r="X100">
            <v>109114.27619794433</v>
          </cell>
          <cell r="Y100">
            <v>109114.27619794484</v>
          </cell>
          <cell r="Z100">
            <v>54557.138098972166</v>
          </cell>
          <cell r="AA100">
            <v>218228.55239588866</v>
          </cell>
          <cell r="AB100">
            <v>68805.252769855142</v>
          </cell>
          <cell r="AC100">
            <v>0</v>
          </cell>
          <cell r="AD100">
            <v>0</v>
          </cell>
          <cell r="AE100">
            <v>327342.82859383302</v>
          </cell>
          <cell r="AF100">
            <v>103207.87915478271</v>
          </cell>
          <cell r="AG100">
            <v>327342.82859383302</v>
          </cell>
          <cell r="AH100">
            <v>103207.87915478271</v>
          </cell>
          <cell r="AI100">
            <v>327342.82859383302</v>
          </cell>
          <cell r="AJ100">
            <v>327342.82859383302</v>
          </cell>
          <cell r="AK100">
            <v>327342.82859383302</v>
          </cell>
          <cell r="AL100">
            <v>327342.82859383302</v>
          </cell>
          <cell r="AM100">
            <v>436457.10479177732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109114.27619794433</v>
          </cell>
          <cell r="AY100">
            <v>218228.55239588866</v>
          </cell>
          <cell r="AZ100">
            <v>763799.93338561035</v>
          </cell>
          <cell r="BA100">
            <v>103207.87915478271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11974</v>
          </cell>
          <cell r="BH100">
            <v>39284</v>
          </cell>
          <cell r="BI100">
            <v>6734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CA100">
            <v>0</v>
          </cell>
          <cell r="CB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O100">
            <v>0</v>
          </cell>
          <cell r="CU100">
            <v>0</v>
          </cell>
          <cell r="CX100">
            <v>0</v>
          </cell>
        </row>
        <row r="101">
          <cell r="G101">
            <v>173177.12015668923</v>
          </cell>
          <cell r="H101">
            <v>109114.27619794433</v>
          </cell>
          <cell r="I101">
            <v>168474.26418802707</v>
          </cell>
          <cell r="J101">
            <v>0</v>
          </cell>
          <cell r="K101">
            <v>0</v>
          </cell>
          <cell r="L101">
            <v>81577.320156689224</v>
          </cell>
          <cell r="M101">
            <v>59319.676384927567</v>
          </cell>
          <cell r="N101">
            <v>53562.391661913083</v>
          </cell>
          <cell r="O101">
            <v>0</v>
          </cell>
          <cell r="P101">
            <v>0</v>
          </cell>
          <cell r="R101">
            <v>69375.836746740591</v>
          </cell>
          <cell r="S101">
            <v>54629.386746740587</v>
          </cell>
          <cell r="T101">
            <v>97917.473493481171</v>
          </cell>
          <cell r="U101">
            <v>109114.27619794433</v>
          </cell>
          <cell r="V101">
            <v>109114.27619794433</v>
          </cell>
          <cell r="W101">
            <v>109114.27619794433</v>
          </cell>
          <cell r="X101">
            <v>109114.27619794433</v>
          </cell>
          <cell r="Y101">
            <v>163671.41429691651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109114.27619794433</v>
          </cell>
          <cell r="AF101">
            <v>34402.626384927571</v>
          </cell>
          <cell r="AG101">
            <v>436457.10479177732</v>
          </cell>
          <cell r="AH101">
            <v>137610.50553971028</v>
          </cell>
          <cell r="AI101">
            <v>436457.10479177732</v>
          </cell>
          <cell r="AJ101">
            <v>436457.10479177732</v>
          </cell>
          <cell r="AK101">
            <v>436457.10479177732</v>
          </cell>
          <cell r="AL101">
            <v>327342.82859383302</v>
          </cell>
          <cell r="AM101">
            <v>327342.82859383302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54557.138098972166</v>
          </cell>
          <cell r="AY101">
            <v>109114.27619794433</v>
          </cell>
          <cell r="AZ101">
            <v>218228.55239588866</v>
          </cell>
          <cell r="BA101">
            <v>0</v>
          </cell>
          <cell r="BB101">
            <v>0</v>
          </cell>
          <cell r="BC101">
            <v>0</v>
          </cell>
          <cell r="BD101">
            <v>545571.38098972163</v>
          </cell>
          <cell r="BE101">
            <v>0</v>
          </cell>
          <cell r="BF101">
            <v>109114.27619794433</v>
          </cell>
          <cell r="BG101">
            <v>0</v>
          </cell>
          <cell r="BH101">
            <v>0</v>
          </cell>
          <cell r="BI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CA101">
            <v>0</v>
          </cell>
          <cell r="CB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O101">
            <v>0</v>
          </cell>
          <cell r="CU101">
            <v>0</v>
          </cell>
          <cell r="CX101">
            <v>0</v>
          </cell>
        </row>
        <row r="102">
          <cell r="G102">
            <v>173177.12015668923</v>
          </cell>
          <cell r="H102">
            <v>109114.27619794433</v>
          </cell>
          <cell r="I102">
            <v>224632.3522507028</v>
          </cell>
          <cell r="J102">
            <v>130937.13143753319</v>
          </cell>
          <cell r="K102">
            <v>0</v>
          </cell>
          <cell r="L102">
            <v>81577.320156689224</v>
          </cell>
          <cell r="M102">
            <v>59319.676384927567</v>
          </cell>
          <cell r="N102">
            <v>53562.391661913083</v>
          </cell>
          <cell r="O102">
            <v>0</v>
          </cell>
          <cell r="P102">
            <v>0</v>
          </cell>
          <cell r="R102">
            <v>69375.836746740591</v>
          </cell>
          <cell r="S102">
            <v>54629.386746740587</v>
          </cell>
          <cell r="T102">
            <v>146876.21024022176</v>
          </cell>
          <cell r="U102">
            <v>109114.27619794433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905648.49244293803</v>
          </cell>
          <cell r="AO102">
            <v>851091.35434396577</v>
          </cell>
          <cell r="AP102">
            <v>643774.22956787155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109114.27619794433</v>
          </cell>
          <cell r="AY102">
            <v>109114.27619794433</v>
          </cell>
          <cell r="AZ102">
            <v>872914.20958355465</v>
          </cell>
          <cell r="BA102">
            <v>103207.87915478271</v>
          </cell>
          <cell r="BB102">
            <v>0</v>
          </cell>
          <cell r="BC102">
            <v>0</v>
          </cell>
          <cell r="BD102">
            <v>109114.27619794433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P102">
            <v>0</v>
          </cell>
          <cell r="BQ102">
            <v>109114.27619794433</v>
          </cell>
          <cell r="BR102">
            <v>140395.22015668923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CA102">
            <v>0</v>
          </cell>
          <cell r="CB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327342.82859383302</v>
          </cell>
          <cell r="CJ102">
            <v>0</v>
          </cell>
          <cell r="CO102">
            <v>0</v>
          </cell>
          <cell r="CU102">
            <v>0</v>
          </cell>
          <cell r="CX102">
            <v>0</v>
          </cell>
        </row>
        <row r="103">
          <cell r="G103">
            <v>173177.12015668923</v>
          </cell>
          <cell r="H103">
            <v>109114.27619794433</v>
          </cell>
          <cell r="I103">
            <v>182513.78620369601</v>
          </cell>
          <cell r="J103">
            <v>109114.27619794433</v>
          </cell>
          <cell r="K103">
            <v>0</v>
          </cell>
          <cell r="L103">
            <v>81577.320156689224</v>
          </cell>
          <cell r="M103">
            <v>59319.676384927567</v>
          </cell>
          <cell r="N103">
            <v>58025.924300405837</v>
          </cell>
          <cell r="O103">
            <v>0</v>
          </cell>
          <cell r="P103">
            <v>0</v>
          </cell>
          <cell r="R103">
            <v>69375.836746740591</v>
          </cell>
          <cell r="S103">
            <v>54629.386746740587</v>
          </cell>
          <cell r="T103">
            <v>146876.21024022176</v>
          </cell>
          <cell r="U103">
            <v>109114.27619794433</v>
          </cell>
          <cell r="V103">
            <v>109114.27619794433</v>
          </cell>
          <cell r="W103">
            <v>109114.27619794433</v>
          </cell>
          <cell r="X103">
            <v>109114.27619794433</v>
          </cell>
          <cell r="Y103">
            <v>163671.41429691651</v>
          </cell>
          <cell r="AA103">
            <v>218228.55239588866</v>
          </cell>
          <cell r="AB103">
            <v>68805.252769855142</v>
          </cell>
          <cell r="AC103">
            <v>218228.55239588866</v>
          </cell>
          <cell r="AD103">
            <v>68805.252769855142</v>
          </cell>
          <cell r="AE103">
            <v>218228.55239588866</v>
          </cell>
          <cell r="AF103">
            <v>68805.252769855142</v>
          </cell>
          <cell r="AG103">
            <v>327342.82859383302</v>
          </cell>
          <cell r="AH103">
            <v>103207.87915478271</v>
          </cell>
          <cell r="AI103">
            <v>327342.82859383302</v>
          </cell>
          <cell r="AJ103">
            <v>218228.55239588866</v>
          </cell>
          <cell r="AK103">
            <v>218228.55239588866</v>
          </cell>
          <cell r="AL103">
            <v>218228.55239588866</v>
          </cell>
          <cell r="AM103">
            <v>218228.55239588866</v>
          </cell>
          <cell r="AN103">
            <v>0</v>
          </cell>
          <cell r="AO103">
            <v>305519.97335424408</v>
          </cell>
          <cell r="AP103">
            <v>185494.26953650537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109114.27619794433</v>
          </cell>
          <cell r="AY103">
            <v>218228.55239588866</v>
          </cell>
          <cell r="AZ103">
            <v>872914.20958355465</v>
          </cell>
          <cell r="BA103">
            <v>275221.01107942057</v>
          </cell>
          <cell r="BB103">
            <v>0</v>
          </cell>
          <cell r="BC103">
            <v>105202</v>
          </cell>
          <cell r="BD103">
            <v>872914.20958355465</v>
          </cell>
          <cell r="BE103">
            <v>0</v>
          </cell>
          <cell r="BF103">
            <v>109114.27619794433</v>
          </cell>
          <cell r="BG103">
            <v>18335.300000000003</v>
          </cell>
          <cell r="BH103">
            <v>61732</v>
          </cell>
          <cell r="BI103">
            <v>6734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CA103">
            <v>0</v>
          </cell>
          <cell r="CB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218228.55239588866</v>
          </cell>
          <cell r="CJ103">
            <v>0</v>
          </cell>
          <cell r="CO103">
            <v>0</v>
          </cell>
          <cell r="CU103">
            <v>0</v>
          </cell>
          <cell r="CX103">
            <v>0</v>
          </cell>
        </row>
        <row r="104">
          <cell r="G104">
            <v>173177.12015668923</v>
          </cell>
          <cell r="H104">
            <v>109114.27619794433</v>
          </cell>
          <cell r="I104">
            <v>112316.1761253514</v>
          </cell>
          <cell r="J104">
            <v>0</v>
          </cell>
          <cell r="K104">
            <v>0</v>
          </cell>
          <cell r="L104">
            <v>81577.320156689224</v>
          </cell>
          <cell r="M104">
            <v>59319.676384927567</v>
          </cell>
          <cell r="N104">
            <v>0</v>
          </cell>
          <cell r="O104">
            <v>0</v>
          </cell>
          <cell r="P104">
            <v>0</v>
          </cell>
          <cell r="R104">
            <v>69375.836746740591</v>
          </cell>
          <cell r="S104">
            <v>54629.386746740587</v>
          </cell>
          <cell r="T104">
            <v>97917.473493481171</v>
          </cell>
          <cell r="U104">
            <v>109114.27619794433</v>
          </cell>
          <cell r="V104">
            <v>109114.27619794433</v>
          </cell>
          <cell r="W104">
            <v>109114.27619794433</v>
          </cell>
          <cell r="X104">
            <v>109114.27619794433</v>
          </cell>
          <cell r="Y104">
            <v>0</v>
          </cell>
          <cell r="AA104">
            <v>218228.55239588866</v>
          </cell>
          <cell r="AB104">
            <v>68805.252769855142</v>
          </cell>
          <cell r="AC104">
            <v>218228.55239588866</v>
          </cell>
          <cell r="AD104">
            <v>68805.252769855142</v>
          </cell>
          <cell r="AE104">
            <v>109114.27619794433</v>
          </cell>
          <cell r="AF104">
            <v>34402.626384927571</v>
          </cell>
          <cell r="AG104">
            <v>218228.55239588866</v>
          </cell>
          <cell r="AH104">
            <v>68805.252769855142</v>
          </cell>
          <cell r="AI104">
            <v>218228.55239588866</v>
          </cell>
          <cell r="AJ104">
            <v>218228.55239588866</v>
          </cell>
          <cell r="AK104">
            <v>218228.55239588866</v>
          </cell>
          <cell r="AL104">
            <v>218228.55239588866</v>
          </cell>
          <cell r="AM104">
            <v>218228.55239588866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109114.27619794433</v>
          </cell>
          <cell r="AY104">
            <v>163671.41429691651</v>
          </cell>
          <cell r="AZ104">
            <v>872914.20958355465</v>
          </cell>
          <cell r="BA104">
            <v>172013.13192463786</v>
          </cell>
          <cell r="BB104">
            <v>0</v>
          </cell>
          <cell r="BC104">
            <v>0</v>
          </cell>
          <cell r="BD104">
            <v>49597.398271792874</v>
          </cell>
          <cell r="BE104">
            <v>0</v>
          </cell>
          <cell r="BF104">
            <v>0</v>
          </cell>
          <cell r="BG104">
            <v>6735.7999999999993</v>
          </cell>
          <cell r="BH104">
            <v>28060</v>
          </cell>
          <cell r="BI104">
            <v>6734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109114.27619794433</v>
          </cell>
          <cell r="BU104">
            <v>0</v>
          </cell>
          <cell r="BV104">
            <v>0</v>
          </cell>
          <cell r="CA104">
            <v>0</v>
          </cell>
          <cell r="CB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O104">
            <v>0</v>
          </cell>
          <cell r="CU104">
            <v>0</v>
          </cell>
          <cell r="CX104">
            <v>0</v>
          </cell>
        </row>
        <row r="105">
          <cell r="G105">
            <v>173177.12015668923</v>
          </cell>
          <cell r="H105">
            <v>109114.27619794433</v>
          </cell>
          <cell r="I105">
            <v>112316.1761253514</v>
          </cell>
          <cell r="J105">
            <v>0</v>
          </cell>
          <cell r="K105">
            <v>0</v>
          </cell>
          <cell r="L105">
            <v>81577.320156689224</v>
          </cell>
          <cell r="M105">
            <v>59319.676384927567</v>
          </cell>
          <cell r="N105">
            <v>0</v>
          </cell>
          <cell r="O105">
            <v>0</v>
          </cell>
          <cell r="P105">
            <v>0</v>
          </cell>
          <cell r="R105">
            <v>69375.836746740591</v>
          </cell>
          <cell r="S105">
            <v>54629.386746740587</v>
          </cell>
          <cell r="T105">
            <v>97917.473493481171</v>
          </cell>
          <cell r="U105">
            <v>109114.27619794433</v>
          </cell>
          <cell r="V105">
            <v>109114.27619794433</v>
          </cell>
          <cell r="W105">
            <v>109114.27619794433</v>
          </cell>
          <cell r="X105">
            <v>109114.27619794433</v>
          </cell>
          <cell r="Y105">
            <v>0</v>
          </cell>
          <cell r="AA105">
            <v>0</v>
          </cell>
          <cell r="AB105">
            <v>0</v>
          </cell>
          <cell r="AC105">
            <v>545571.38098972163</v>
          </cell>
          <cell r="AD105">
            <v>172013.13192463786</v>
          </cell>
          <cell r="AE105">
            <v>0</v>
          </cell>
          <cell r="AF105">
            <v>0</v>
          </cell>
          <cell r="AG105">
            <v>218228.55239588866</v>
          </cell>
          <cell r="AH105">
            <v>68805.252769855142</v>
          </cell>
          <cell r="AI105">
            <v>218228.55239588866</v>
          </cell>
          <cell r="AJ105">
            <v>218228.55239588866</v>
          </cell>
          <cell r="AK105">
            <v>218228.55239588866</v>
          </cell>
          <cell r="AL105">
            <v>218228.55239588866</v>
          </cell>
          <cell r="AM105">
            <v>218228.55239588866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0</v>
          </cell>
          <cell r="AX105">
            <v>54557.138098972166</v>
          </cell>
          <cell r="AY105">
            <v>109114.27619794433</v>
          </cell>
          <cell r="AZ105">
            <v>327342.82859383302</v>
          </cell>
          <cell r="BA105">
            <v>0</v>
          </cell>
          <cell r="BB105">
            <v>0</v>
          </cell>
          <cell r="BC105">
            <v>0</v>
          </cell>
          <cell r="BD105">
            <v>763799.93338561035</v>
          </cell>
          <cell r="BE105">
            <v>0</v>
          </cell>
          <cell r="BF105">
            <v>109114.27619794433</v>
          </cell>
          <cell r="BG105">
            <v>12348.5</v>
          </cell>
          <cell r="BH105">
            <v>44896</v>
          </cell>
          <cell r="BI105">
            <v>6734</v>
          </cell>
          <cell r="BP105">
            <v>105202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CA105">
            <v>0</v>
          </cell>
          <cell r="CB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O105">
            <v>0</v>
          </cell>
          <cell r="CU105">
            <v>0</v>
          </cell>
          <cell r="CX105">
            <v>0</v>
          </cell>
        </row>
        <row r="106">
          <cell r="G106">
            <v>173177.12015668923</v>
          </cell>
          <cell r="H106">
            <v>109114.27619794433</v>
          </cell>
          <cell r="I106">
            <v>210592.83023503385</v>
          </cell>
          <cell r="J106">
            <v>109114.27619794433</v>
          </cell>
          <cell r="K106">
            <v>0</v>
          </cell>
          <cell r="L106">
            <v>81577.320156689224</v>
          </cell>
          <cell r="M106">
            <v>59319.676384927567</v>
          </cell>
          <cell r="N106">
            <v>62489.456938898591</v>
          </cell>
          <cell r="O106">
            <v>0</v>
          </cell>
          <cell r="P106">
            <v>0</v>
          </cell>
          <cell r="R106">
            <v>69375.836746740591</v>
          </cell>
          <cell r="S106">
            <v>54629.386746740587</v>
          </cell>
          <cell r="T106">
            <v>146876.21024022176</v>
          </cell>
          <cell r="U106">
            <v>109114.27619794433</v>
          </cell>
          <cell r="V106">
            <v>109114.27619794433</v>
          </cell>
          <cell r="W106">
            <v>109114.27619794433</v>
          </cell>
          <cell r="X106">
            <v>109114.27619794433</v>
          </cell>
          <cell r="Y106">
            <v>163671.41429691651</v>
          </cell>
          <cell r="AA106">
            <v>327342.82859383302</v>
          </cell>
          <cell r="AB106">
            <v>103207.87915478271</v>
          </cell>
          <cell r="AC106">
            <v>109114.27619794433</v>
          </cell>
          <cell r="AD106">
            <v>34402.626384927571</v>
          </cell>
          <cell r="AE106">
            <v>327342.82859383302</v>
          </cell>
          <cell r="AF106">
            <v>103207.87915478271</v>
          </cell>
          <cell r="AG106">
            <v>327342.82859383302</v>
          </cell>
          <cell r="AH106">
            <v>103207.87915478271</v>
          </cell>
          <cell r="AI106">
            <v>327342.82859383302</v>
          </cell>
          <cell r="AJ106">
            <v>327342.82859383302</v>
          </cell>
          <cell r="AK106">
            <v>327342.82859383302</v>
          </cell>
          <cell r="AL106">
            <v>327342.82859383302</v>
          </cell>
          <cell r="AM106">
            <v>436457.10479177732</v>
          </cell>
          <cell r="AN106">
            <v>0</v>
          </cell>
          <cell r="AO106">
            <v>0</v>
          </cell>
          <cell r="AP106">
            <v>338254.25621362746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W106">
            <v>0</v>
          </cell>
          <cell r="AX106">
            <v>109114.27619794433</v>
          </cell>
          <cell r="AY106">
            <v>436457.10479177732</v>
          </cell>
          <cell r="AZ106">
            <v>763799.93338561035</v>
          </cell>
          <cell r="BA106">
            <v>34402.626384927571</v>
          </cell>
          <cell r="BB106">
            <v>48063.47638492757</v>
          </cell>
          <cell r="BC106">
            <v>0</v>
          </cell>
          <cell r="BD106">
            <v>1527599.8667712207</v>
          </cell>
          <cell r="BE106">
            <v>0</v>
          </cell>
          <cell r="BF106">
            <v>327342.82859383302</v>
          </cell>
          <cell r="BG106">
            <v>12348.5</v>
          </cell>
          <cell r="BH106">
            <v>44896</v>
          </cell>
          <cell r="BI106">
            <v>6734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CA106">
            <v>0</v>
          </cell>
          <cell r="CB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218228.55239588866</v>
          </cell>
          <cell r="CJ106">
            <v>0</v>
          </cell>
          <cell r="CO106">
            <v>0</v>
          </cell>
          <cell r="CU106">
            <v>0</v>
          </cell>
          <cell r="CX106">
            <v>0</v>
          </cell>
        </row>
        <row r="107">
          <cell r="G107">
            <v>173177.12015668923</v>
          </cell>
          <cell r="H107">
            <v>109114.27619794433</v>
          </cell>
          <cell r="I107">
            <v>182513.78620369601</v>
          </cell>
          <cell r="J107">
            <v>0</v>
          </cell>
          <cell r="K107">
            <v>0</v>
          </cell>
          <cell r="L107">
            <v>81577.320156689224</v>
          </cell>
          <cell r="M107">
            <v>59319.676384927567</v>
          </cell>
          <cell r="N107">
            <v>58025.924300405837</v>
          </cell>
          <cell r="O107">
            <v>0</v>
          </cell>
          <cell r="P107">
            <v>0</v>
          </cell>
          <cell r="R107">
            <v>69375.836746740591</v>
          </cell>
          <cell r="S107">
            <v>54629.386746740587</v>
          </cell>
          <cell r="T107">
            <v>146876.21024022176</v>
          </cell>
          <cell r="U107">
            <v>109114.27619794433</v>
          </cell>
          <cell r="V107">
            <v>109114.27619794433</v>
          </cell>
          <cell r="W107">
            <v>109114.27619794433</v>
          </cell>
          <cell r="X107">
            <v>109114.27619794433</v>
          </cell>
          <cell r="Y107">
            <v>163671.41429691651</v>
          </cell>
          <cell r="AA107">
            <v>0</v>
          </cell>
          <cell r="AB107">
            <v>0</v>
          </cell>
          <cell r="AC107">
            <v>436457.10479177732</v>
          </cell>
          <cell r="AD107">
            <v>137610.50553971028</v>
          </cell>
          <cell r="AE107">
            <v>0</v>
          </cell>
          <cell r="AF107">
            <v>0</v>
          </cell>
          <cell r="AG107">
            <v>436457.10479177732</v>
          </cell>
          <cell r="AH107">
            <v>137610.50553971028</v>
          </cell>
          <cell r="AI107">
            <v>436457.10479177732</v>
          </cell>
          <cell r="AJ107">
            <v>436457.10479177732</v>
          </cell>
          <cell r="AK107">
            <v>327342.82859383302</v>
          </cell>
          <cell r="AL107">
            <v>327342.82859383302</v>
          </cell>
          <cell r="AM107">
            <v>327342.82859383302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W107">
            <v>0</v>
          </cell>
          <cell r="AX107">
            <v>109114.27619794433</v>
          </cell>
          <cell r="AY107">
            <v>327342.82859383302</v>
          </cell>
          <cell r="AZ107">
            <v>1091142.7619794433</v>
          </cell>
          <cell r="BA107">
            <v>137610.50553971028</v>
          </cell>
          <cell r="BB107">
            <v>0</v>
          </cell>
          <cell r="BC107">
            <v>0</v>
          </cell>
          <cell r="BD107">
            <v>1418485.5905732764</v>
          </cell>
          <cell r="BE107">
            <v>0</v>
          </cell>
          <cell r="BF107">
            <v>218228.55239588866</v>
          </cell>
          <cell r="BG107">
            <v>29930</v>
          </cell>
          <cell r="BH107">
            <v>28060</v>
          </cell>
          <cell r="BI107">
            <v>6734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CA107">
            <v>0</v>
          </cell>
          <cell r="CB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O107">
            <v>0</v>
          </cell>
          <cell r="CU107">
            <v>0</v>
          </cell>
          <cell r="CX107">
            <v>0</v>
          </cell>
        </row>
        <row r="108">
          <cell r="G108">
            <v>173177.12015668923</v>
          </cell>
          <cell r="H108">
            <v>109114.27619794433</v>
          </cell>
          <cell r="I108">
            <v>182513.78620369601</v>
          </cell>
          <cell r="J108">
            <v>0</v>
          </cell>
          <cell r="K108">
            <v>0</v>
          </cell>
          <cell r="L108">
            <v>81577.320156689224</v>
          </cell>
          <cell r="M108">
            <v>59319.676384927567</v>
          </cell>
          <cell r="N108">
            <v>58025.924300405837</v>
          </cell>
          <cell r="O108">
            <v>0</v>
          </cell>
          <cell r="P108">
            <v>0</v>
          </cell>
          <cell r="R108">
            <v>69375.836746740591</v>
          </cell>
          <cell r="S108">
            <v>54629.386746740587</v>
          </cell>
          <cell r="T108">
            <v>97917.473493481171</v>
          </cell>
          <cell r="U108">
            <v>109114.27619794433</v>
          </cell>
          <cell r="V108">
            <v>109114.27619794433</v>
          </cell>
          <cell r="W108">
            <v>109114.27619794433</v>
          </cell>
          <cell r="X108">
            <v>109114.27619794433</v>
          </cell>
          <cell r="Y108">
            <v>218228.55239588866</v>
          </cell>
          <cell r="AA108">
            <v>218228.55239588866</v>
          </cell>
          <cell r="AB108">
            <v>68805.252769855142</v>
          </cell>
          <cell r="AC108">
            <v>109114.27619794433</v>
          </cell>
          <cell r="AD108">
            <v>34402.626384927571</v>
          </cell>
          <cell r="AE108">
            <v>218228.55239588866</v>
          </cell>
          <cell r="AF108">
            <v>68805.252769855142</v>
          </cell>
          <cell r="AG108">
            <v>327342.82859383302</v>
          </cell>
          <cell r="AH108">
            <v>103207.87915478271</v>
          </cell>
          <cell r="AI108">
            <v>327342.82859383302</v>
          </cell>
          <cell r="AJ108">
            <v>327342.82859383302</v>
          </cell>
          <cell r="AK108">
            <v>327342.82859383302</v>
          </cell>
          <cell r="AL108">
            <v>436457.10479177732</v>
          </cell>
          <cell r="AM108">
            <v>327342.82859383302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109114.27619794433</v>
          </cell>
          <cell r="AY108">
            <v>218228.55239588866</v>
          </cell>
          <cell r="AZ108">
            <v>654685.65718766605</v>
          </cell>
          <cell r="BA108">
            <v>137610.50553971028</v>
          </cell>
          <cell r="BB108">
            <v>0</v>
          </cell>
          <cell r="BC108">
            <v>0</v>
          </cell>
          <cell r="BD108">
            <v>39677.918617434305</v>
          </cell>
          <cell r="BE108">
            <v>0</v>
          </cell>
          <cell r="BF108">
            <v>0</v>
          </cell>
          <cell r="BG108">
            <v>5988</v>
          </cell>
          <cell r="BH108">
            <v>33672</v>
          </cell>
          <cell r="BI108">
            <v>6734</v>
          </cell>
          <cell r="BP108">
            <v>105202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CA108">
            <v>0</v>
          </cell>
          <cell r="CB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O108">
            <v>0</v>
          </cell>
          <cell r="CU108">
            <v>0</v>
          </cell>
          <cell r="CX108">
            <v>0</v>
          </cell>
        </row>
        <row r="109">
          <cell r="G109">
            <v>173177.12015668923</v>
          </cell>
          <cell r="H109">
            <v>109114.27619794433</v>
          </cell>
          <cell r="I109">
            <v>182513.78620369601</v>
          </cell>
          <cell r="J109">
            <v>0</v>
          </cell>
          <cell r="K109">
            <v>0</v>
          </cell>
          <cell r="L109">
            <v>81577.320156689224</v>
          </cell>
          <cell r="M109">
            <v>59319.676384927567</v>
          </cell>
          <cell r="N109">
            <v>58025.924300405837</v>
          </cell>
          <cell r="O109">
            <v>0</v>
          </cell>
          <cell r="P109">
            <v>0</v>
          </cell>
          <cell r="R109">
            <v>69375.836746740591</v>
          </cell>
          <cell r="S109">
            <v>54629.386746740587</v>
          </cell>
          <cell r="T109">
            <v>146876.21024022176</v>
          </cell>
          <cell r="U109">
            <v>109114.27619794433</v>
          </cell>
          <cell r="V109">
            <v>109114.27619794433</v>
          </cell>
          <cell r="W109">
            <v>109114.27619794433</v>
          </cell>
          <cell r="X109">
            <v>109114.27619794433</v>
          </cell>
          <cell r="Y109">
            <v>163671.41429691651</v>
          </cell>
          <cell r="AA109">
            <v>436457.10479177732</v>
          </cell>
          <cell r="AB109">
            <v>137610.50553971028</v>
          </cell>
          <cell r="AC109">
            <v>0</v>
          </cell>
          <cell r="AD109">
            <v>0</v>
          </cell>
          <cell r="AE109">
            <v>436457.10479177732</v>
          </cell>
          <cell r="AF109">
            <v>137610.50553971028</v>
          </cell>
          <cell r="AG109">
            <v>436457.10479177732</v>
          </cell>
          <cell r="AH109">
            <v>137610.50553971028</v>
          </cell>
          <cell r="AI109">
            <v>436457.10479177732</v>
          </cell>
          <cell r="AJ109">
            <v>327342.82859383302</v>
          </cell>
          <cell r="AK109">
            <v>327342.82859383302</v>
          </cell>
          <cell r="AL109">
            <v>327342.82859383302</v>
          </cell>
          <cell r="AM109">
            <v>218228.55239588866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109114.27619794433</v>
          </cell>
          <cell r="AY109">
            <v>109114.27619794433</v>
          </cell>
          <cell r="AZ109">
            <v>872914.20958355465</v>
          </cell>
          <cell r="BA109">
            <v>309623.63746434811</v>
          </cell>
          <cell r="BB109">
            <v>0</v>
          </cell>
          <cell r="BC109">
            <v>105202</v>
          </cell>
          <cell r="BD109">
            <v>109114.27619794433</v>
          </cell>
          <cell r="BE109">
            <v>0</v>
          </cell>
          <cell r="BF109">
            <v>0</v>
          </cell>
          <cell r="BG109">
            <v>12721.400000000001</v>
          </cell>
          <cell r="BH109">
            <v>28060</v>
          </cell>
          <cell r="BI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CA109">
            <v>0</v>
          </cell>
          <cell r="CB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O109">
            <v>0</v>
          </cell>
          <cell r="CU109">
            <v>0</v>
          </cell>
          <cell r="CX109">
            <v>0</v>
          </cell>
        </row>
        <row r="110">
          <cell r="G110">
            <v>173177.12015668923</v>
          </cell>
          <cell r="H110">
            <v>109114.27619794433</v>
          </cell>
          <cell r="I110">
            <v>112316.1761253514</v>
          </cell>
          <cell r="J110">
            <v>0</v>
          </cell>
          <cell r="K110">
            <v>0</v>
          </cell>
          <cell r="L110">
            <v>81577.320156689224</v>
          </cell>
          <cell r="M110">
            <v>59319.676384927567</v>
          </cell>
          <cell r="N110">
            <v>0</v>
          </cell>
          <cell r="O110">
            <v>0</v>
          </cell>
          <cell r="P110">
            <v>0</v>
          </cell>
          <cell r="R110">
            <v>69375.836746740591</v>
          </cell>
          <cell r="S110">
            <v>54629.386746740587</v>
          </cell>
          <cell r="T110">
            <v>97917.473493481171</v>
          </cell>
          <cell r="U110">
            <v>109114.27619794433</v>
          </cell>
          <cell r="V110">
            <v>109114.27619794433</v>
          </cell>
          <cell r="W110">
            <v>109114.27619794433</v>
          </cell>
          <cell r="X110">
            <v>109114.27619794433</v>
          </cell>
          <cell r="Y110">
            <v>0</v>
          </cell>
          <cell r="AA110">
            <v>218228.55239588866</v>
          </cell>
          <cell r="AB110">
            <v>68805.252769855142</v>
          </cell>
          <cell r="AC110">
            <v>0</v>
          </cell>
          <cell r="AD110">
            <v>0</v>
          </cell>
          <cell r="AE110">
            <v>218228.55239588866</v>
          </cell>
          <cell r="AF110">
            <v>68805.252769855142</v>
          </cell>
          <cell r="AG110">
            <v>327342.82859383302</v>
          </cell>
          <cell r="AH110">
            <v>103207.87915478271</v>
          </cell>
          <cell r="AI110">
            <v>327342.82859383302</v>
          </cell>
          <cell r="AJ110">
            <v>218228.55239588866</v>
          </cell>
          <cell r="AK110">
            <v>327342.82859383302</v>
          </cell>
          <cell r="AL110">
            <v>218228.55239588866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109114.27619794433</v>
          </cell>
          <cell r="AY110">
            <v>109114.27619794433</v>
          </cell>
          <cell r="AZ110">
            <v>436457.10479177732</v>
          </cell>
          <cell r="BA110">
            <v>34402.626384927571</v>
          </cell>
          <cell r="BB110">
            <v>48063.47638492757</v>
          </cell>
          <cell r="BC110">
            <v>0</v>
          </cell>
          <cell r="BD110">
            <v>19838.959308717152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CA110">
            <v>0</v>
          </cell>
          <cell r="CB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O110">
            <v>0</v>
          </cell>
          <cell r="CU110">
            <v>0</v>
          </cell>
          <cell r="CX110">
            <v>0</v>
          </cell>
        </row>
        <row r="111">
          <cell r="G111">
            <v>173177.12015668923</v>
          </cell>
          <cell r="H111">
            <v>109114.27619794433</v>
          </cell>
          <cell r="I111">
            <v>42118.566047006767</v>
          </cell>
          <cell r="J111">
            <v>109114.27619794433</v>
          </cell>
          <cell r="K111">
            <v>0</v>
          </cell>
          <cell r="L111">
            <v>81577.320156689224</v>
          </cell>
          <cell r="M111">
            <v>59319.676384927567</v>
          </cell>
          <cell r="N111">
            <v>0</v>
          </cell>
          <cell r="O111">
            <v>0</v>
          </cell>
          <cell r="P111">
            <v>0</v>
          </cell>
          <cell r="R111">
            <v>69375.836746740591</v>
          </cell>
          <cell r="S111">
            <v>54629.386746740587</v>
          </cell>
          <cell r="T111">
            <v>146876.21024022176</v>
          </cell>
          <cell r="U111">
            <v>109114.27619794433</v>
          </cell>
          <cell r="V111">
            <v>109114.27619794433</v>
          </cell>
          <cell r="W111">
            <v>109114.27619794433</v>
          </cell>
          <cell r="X111">
            <v>109114.27619794433</v>
          </cell>
          <cell r="Y111">
            <v>0</v>
          </cell>
          <cell r="AA111">
            <v>218228.55239588866</v>
          </cell>
          <cell r="AB111">
            <v>68805.252769855142</v>
          </cell>
          <cell r="AC111">
            <v>0</v>
          </cell>
          <cell r="AD111">
            <v>0</v>
          </cell>
          <cell r="AE111">
            <v>218228.55239588866</v>
          </cell>
          <cell r="AF111">
            <v>68805.252769855142</v>
          </cell>
          <cell r="AG111">
            <v>327342.82859383302</v>
          </cell>
          <cell r="AH111">
            <v>103207.87915478271</v>
          </cell>
          <cell r="AI111">
            <v>218228.55239588866</v>
          </cell>
          <cell r="AJ111">
            <v>218228.55239588866</v>
          </cell>
          <cell r="AK111">
            <v>218228.55239588866</v>
          </cell>
          <cell r="AL111">
            <v>218228.55239588866</v>
          </cell>
          <cell r="AM111">
            <v>109114.27619794433</v>
          </cell>
          <cell r="AN111">
            <v>163671.41429691651</v>
          </cell>
          <cell r="AO111">
            <v>130937.13143753319</v>
          </cell>
          <cell r="AP111">
            <v>120025.70381773877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109114.27619794433</v>
          </cell>
          <cell r="AY111">
            <v>218228.55239588866</v>
          </cell>
          <cell r="AZ111">
            <v>1091142.7619794433</v>
          </cell>
          <cell r="BA111">
            <v>275221.01107942057</v>
          </cell>
          <cell r="BB111">
            <v>0</v>
          </cell>
          <cell r="BC111">
            <v>0</v>
          </cell>
          <cell r="BD111">
            <v>109114.27619794433</v>
          </cell>
          <cell r="BE111">
            <v>0</v>
          </cell>
          <cell r="BF111">
            <v>0</v>
          </cell>
          <cell r="BG111">
            <v>12721.8</v>
          </cell>
          <cell r="BH111">
            <v>33672</v>
          </cell>
          <cell r="BI111">
            <v>6734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CA111">
            <v>0</v>
          </cell>
          <cell r="CB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218228.55239588866</v>
          </cell>
          <cell r="CJ111">
            <v>0</v>
          </cell>
          <cell r="CO111">
            <v>0</v>
          </cell>
          <cell r="CU111">
            <v>0</v>
          </cell>
          <cell r="CX111">
            <v>0</v>
          </cell>
        </row>
        <row r="112">
          <cell r="G112">
            <v>173177.12015668923</v>
          </cell>
          <cell r="H112">
            <v>109114.27619794433</v>
          </cell>
          <cell r="I112">
            <v>56158.088062675699</v>
          </cell>
          <cell r="J112">
            <v>0</v>
          </cell>
          <cell r="K112">
            <v>64676.482381449823</v>
          </cell>
          <cell r="L112">
            <v>40788.660078344612</v>
          </cell>
          <cell r="M112">
            <v>59319.676384927567</v>
          </cell>
          <cell r="N112">
            <v>0</v>
          </cell>
          <cell r="O112">
            <v>50130.026384927565</v>
          </cell>
          <cell r="P112">
            <v>62573.586746740584</v>
          </cell>
          <cell r="R112">
            <v>69375.836746740591</v>
          </cell>
          <cell r="S112">
            <v>54629.386746740587</v>
          </cell>
          <cell r="T112">
            <v>97917.473493481171</v>
          </cell>
          <cell r="U112">
            <v>54557.138098972166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392811.39431259962</v>
          </cell>
          <cell r="AQ112">
            <v>272785.69049486081</v>
          </cell>
          <cell r="AR112">
            <v>130937.13143753319</v>
          </cell>
          <cell r="AS112">
            <v>98202.848578149904</v>
          </cell>
          <cell r="AT112">
            <v>32734.282859383296</v>
          </cell>
          <cell r="AU112">
            <v>0</v>
          </cell>
          <cell r="AW112">
            <v>0</v>
          </cell>
          <cell r="AX112">
            <v>54557.138098972166</v>
          </cell>
          <cell r="AY112">
            <v>327342.82859383302</v>
          </cell>
          <cell r="AZ112">
            <v>763799.93338561035</v>
          </cell>
          <cell r="BA112">
            <v>68805.252769855142</v>
          </cell>
          <cell r="BB112">
            <v>48063.47638492757</v>
          </cell>
          <cell r="BC112">
            <v>0</v>
          </cell>
          <cell r="BD112">
            <v>34718.178790255013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CA112">
            <v>0</v>
          </cell>
          <cell r="CB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O112">
            <v>0</v>
          </cell>
          <cell r="CT112">
            <v>99451</v>
          </cell>
          <cell r="CX112">
            <v>0</v>
          </cell>
        </row>
        <row r="113">
          <cell r="G113">
            <v>173177.12015668923</v>
          </cell>
          <cell r="H113">
            <v>109114.27619794433</v>
          </cell>
          <cell r="I113">
            <v>154434.74217235818</v>
          </cell>
          <cell r="J113">
            <v>0</v>
          </cell>
          <cell r="K113">
            <v>0</v>
          </cell>
          <cell r="L113">
            <v>81577.320156689224</v>
          </cell>
          <cell r="M113">
            <v>59319.676384927567</v>
          </cell>
          <cell r="N113">
            <v>49098.859023420329</v>
          </cell>
          <cell r="O113">
            <v>0</v>
          </cell>
          <cell r="P113">
            <v>0</v>
          </cell>
          <cell r="R113">
            <v>69375.836746740591</v>
          </cell>
          <cell r="S113">
            <v>54629.386746740587</v>
          </cell>
          <cell r="T113">
            <v>97917.473493481171</v>
          </cell>
          <cell r="U113">
            <v>109114.27619794433</v>
          </cell>
          <cell r="V113">
            <v>109114.27619794433</v>
          </cell>
          <cell r="W113">
            <v>109114.27619794433</v>
          </cell>
          <cell r="X113">
            <v>109114.27619794433</v>
          </cell>
          <cell r="Y113">
            <v>163671.41429691651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436457.10479177732</v>
          </cell>
          <cell r="AJ113">
            <v>436457.10479177732</v>
          </cell>
          <cell r="AK113">
            <v>436457.10479177732</v>
          </cell>
          <cell r="AL113">
            <v>436457.10479177732</v>
          </cell>
          <cell r="AM113">
            <v>436457.10479177732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54557.138098972166</v>
          </cell>
          <cell r="AY113">
            <v>218228.55239588866</v>
          </cell>
          <cell r="AZ113">
            <v>327342.82859383302</v>
          </cell>
          <cell r="BA113">
            <v>0</v>
          </cell>
          <cell r="BB113">
            <v>0</v>
          </cell>
          <cell r="BC113">
            <v>0</v>
          </cell>
          <cell r="BD113">
            <v>19838.959308717152</v>
          </cell>
          <cell r="BE113">
            <v>0</v>
          </cell>
          <cell r="BF113">
            <v>0</v>
          </cell>
          <cell r="BG113">
            <v>29930</v>
          </cell>
          <cell r="BH113">
            <v>28060</v>
          </cell>
          <cell r="BI113">
            <v>6734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CA113">
            <v>0</v>
          </cell>
          <cell r="CB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O113">
            <v>0</v>
          </cell>
          <cell r="CU113">
            <v>0</v>
          </cell>
          <cell r="CX113">
            <v>0</v>
          </cell>
        </row>
        <row r="114">
          <cell r="G114">
            <v>173177.12015668923</v>
          </cell>
          <cell r="H114">
            <v>109114.27619794433</v>
          </cell>
          <cell r="I114">
            <v>126355.69814102032</v>
          </cell>
          <cell r="J114">
            <v>109114.27619794433</v>
          </cell>
          <cell r="K114">
            <v>0</v>
          </cell>
          <cell r="L114">
            <v>81577.320156689224</v>
          </cell>
          <cell r="M114">
            <v>59319.676384927567</v>
          </cell>
          <cell r="N114">
            <v>0</v>
          </cell>
          <cell r="O114">
            <v>0</v>
          </cell>
          <cell r="P114">
            <v>0</v>
          </cell>
          <cell r="R114">
            <v>69375.836746740591</v>
          </cell>
          <cell r="S114">
            <v>54629.386746740587</v>
          </cell>
          <cell r="T114">
            <v>97917.473493481171</v>
          </cell>
          <cell r="U114">
            <v>109114.27619794433</v>
          </cell>
          <cell r="V114">
            <v>109114.27619794433</v>
          </cell>
          <cell r="W114">
            <v>109114.27619794433</v>
          </cell>
          <cell r="X114">
            <v>109114.27619794433</v>
          </cell>
          <cell r="Y114">
            <v>0</v>
          </cell>
          <cell r="AA114">
            <v>327342.82859383302</v>
          </cell>
          <cell r="AB114">
            <v>103207.87915478271</v>
          </cell>
          <cell r="AC114">
            <v>0</v>
          </cell>
          <cell r="AD114">
            <v>0</v>
          </cell>
          <cell r="AE114">
            <v>218228.55239588866</v>
          </cell>
          <cell r="AF114">
            <v>68805.252769855142</v>
          </cell>
          <cell r="AG114">
            <v>218228.55239588866</v>
          </cell>
          <cell r="AH114">
            <v>68805.252769855142</v>
          </cell>
          <cell r="AI114">
            <v>218228.55239588866</v>
          </cell>
          <cell r="AJ114">
            <v>218228.55239588866</v>
          </cell>
          <cell r="AK114">
            <v>218228.55239588866</v>
          </cell>
          <cell r="AL114">
            <v>218228.55239588866</v>
          </cell>
          <cell r="AM114">
            <v>218228.55239588866</v>
          </cell>
          <cell r="AN114">
            <v>0</v>
          </cell>
          <cell r="AO114">
            <v>0</v>
          </cell>
          <cell r="AP114">
            <v>163671.41429691651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54557.138098972166</v>
          </cell>
          <cell r="AY114">
            <v>109114.27619794433</v>
          </cell>
          <cell r="AZ114">
            <v>654685.65718766605</v>
          </cell>
          <cell r="BA114">
            <v>103207.87915478271</v>
          </cell>
          <cell r="BB114">
            <v>0</v>
          </cell>
          <cell r="BC114">
            <v>0</v>
          </cell>
          <cell r="BD114">
            <v>327342.82859383302</v>
          </cell>
          <cell r="BE114">
            <v>0</v>
          </cell>
          <cell r="BF114">
            <v>0</v>
          </cell>
          <cell r="BG114">
            <v>12721.8</v>
          </cell>
          <cell r="BH114">
            <v>33672</v>
          </cell>
          <cell r="BI114">
            <v>6734</v>
          </cell>
          <cell r="BP114">
            <v>0</v>
          </cell>
          <cell r="BQ114">
            <v>109114.27619794433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CA114">
            <v>0</v>
          </cell>
          <cell r="CB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218228.55239588866</v>
          </cell>
          <cell r="CJ114">
            <v>0</v>
          </cell>
          <cell r="CO114">
            <v>0</v>
          </cell>
          <cell r="CU114">
            <v>0</v>
          </cell>
          <cell r="CX114">
            <v>0</v>
          </cell>
        </row>
        <row r="115">
          <cell r="G115">
            <v>173177.12015668923</v>
          </cell>
          <cell r="H115">
            <v>109114.27619794433</v>
          </cell>
          <cell r="I115">
            <v>42118.566047006767</v>
          </cell>
          <cell r="J115">
            <v>109114.27619794433</v>
          </cell>
          <cell r="K115">
            <v>0</v>
          </cell>
          <cell r="L115">
            <v>81577.320156689224</v>
          </cell>
          <cell r="M115">
            <v>59319.676384927567</v>
          </cell>
          <cell r="N115">
            <v>0</v>
          </cell>
          <cell r="O115">
            <v>0</v>
          </cell>
          <cell r="P115">
            <v>0</v>
          </cell>
          <cell r="R115">
            <v>69375.836746740591</v>
          </cell>
          <cell r="S115">
            <v>54629.386746740587</v>
          </cell>
          <cell r="T115">
            <v>97917.473493481171</v>
          </cell>
          <cell r="U115">
            <v>109114.27619794433</v>
          </cell>
          <cell r="V115">
            <v>109114.27619794433</v>
          </cell>
          <cell r="W115">
            <v>109114.27619794433</v>
          </cell>
          <cell r="X115">
            <v>109114.27619794433</v>
          </cell>
          <cell r="Y115">
            <v>-3.3469405025243759E-10</v>
          </cell>
          <cell r="Z115">
            <v>109114.27619794433</v>
          </cell>
          <cell r="AA115">
            <v>109114.27619794433</v>
          </cell>
          <cell r="AB115">
            <v>34402.626384927571</v>
          </cell>
          <cell r="AC115">
            <v>327342.82859383302</v>
          </cell>
          <cell r="AD115">
            <v>103207.87915478271</v>
          </cell>
          <cell r="AE115">
            <v>109114.27619794433</v>
          </cell>
          <cell r="AF115">
            <v>34402.626384927571</v>
          </cell>
          <cell r="AG115">
            <v>218228.55239588866</v>
          </cell>
          <cell r="AH115">
            <v>68805.252769855142</v>
          </cell>
          <cell r="AI115">
            <v>218228.55239588866</v>
          </cell>
          <cell r="AJ115">
            <v>109114.27619794433</v>
          </cell>
          <cell r="AK115">
            <v>109114.27619794433</v>
          </cell>
          <cell r="AL115">
            <v>218228.55239588866</v>
          </cell>
          <cell r="AM115">
            <v>109114.27619794433</v>
          </cell>
          <cell r="AN115">
            <v>152759.98667712204</v>
          </cell>
          <cell r="AO115">
            <v>130937.13143753319</v>
          </cell>
          <cell r="AP115">
            <v>98202.848578149904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109114.27619794433</v>
          </cell>
          <cell r="AY115">
            <v>327342.82859383302</v>
          </cell>
          <cell r="AZ115">
            <v>763799.93338561035</v>
          </cell>
          <cell r="BA115">
            <v>68805.252769855142</v>
          </cell>
          <cell r="BB115">
            <v>0</v>
          </cell>
          <cell r="BC115">
            <v>0</v>
          </cell>
          <cell r="BD115">
            <v>218228.55239588866</v>
          </cell>
          <cell r="BE115">
            <v>0</v>
          </cell>
          <cell r="BF115">
            <v>0</v>
          </cell>
          <cell r="BG115">
            <v>12346.9</v>
          </cell>
          <cell r="BH115">
            <v>22448</v>
          </cell>
          <cell r="BI115">
            <v>6734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CA115">
            <v>0</v>
          </cell>
          <cell r="CB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218228.55239588866</v>
          </cell>
          <cell r="CJ115">
            <v>0</v>
          </cell>
          <cell r="CO115">
            <v>0</v>
          </cell>
          <cell r="CU115">
            <v>0</v>
          </cell>
          <cell r="CX115">
            <v>0</v>
          </cell>
        </row>
        <row r="116">
          <cell r="G116">
            <v>173177.12015668923</v>
          </cell>
          <cell r="H116">
            <v>109114.27619794433</v>
          </cell>
          <cell r="I116">
            <v>28079.044031337849</v>
          </cell>
          <cell r="J116">
            <v>109114.27619794433</v>
          </cell>
          <cell r="K116">
            <v>0</v>
          </cell>
          <cell r="L116">
            <v>81577.320156689224</v>
          </cell>
          <cell r="M116">
            <v>59319.676384927567</v>
          </cell>
          <cell r="N116">
            <v>0</v>
          </cell>
          <cell r="O116">
            <v>0</v>
          </cell>
          <cell r="P116">
            <v>0</v>
          </cell>
          <cell r="R116">
            <v>69375.836746740591</v>
          </cell>
          <cell r="S116">
            <v>54629.386746740587</v>
          </cell>
          <cell r="T116">
            <v>97917.473493481171</v>
          </cell>
          <cell r="U116">
            <v>109114.27619794433</v>
          </cell>
          <cell r="V116">
            <v>109114.27619794433</v>
          </cell>
          <cell r="W116">
            <v>109114.27619794433</v>
          </cell>
          <cell r="X116">
            <v>109114.27619794433</v>
          </cell>
          <cell r="Y116">
            <v>0</v>
          </cell>
          <cell r="AA116">
            <v>109114.27619794433</v>
          </cell>
          <cell r="AB116">
            <v>34402.626384927571</v>
          </cell>
          <cell r="AC116">
            <v>218228.55239588866</v>
          </cell>
          <cell r="AD116">
            <v>68805.252769855142</v>
          </cell>
          <cell r="AE116">
            <v>109114.27619794433</v>
          </cell>
          <cell r="AF116">
            <v>34402.626384927571</v>
          </cell>
          <cell r="AG116">
            <v>218228.55239588866</v>
          </cell>
          <cell r="AH116">
            <v>68805.252769855142</v>
          </cell>
          <cell r="AI116">
            <v>218228.55239588866</v>
          </cell>
          <cell r="AJ116">
            <v>218228.55239588866</v>
          </cell>
          <cell r="AK116">
            <v>109114.27619794433</v>
          </cell>
          <cell r="AL116">
            <v>218228.55239588866</v>
          </cell>
          <cell r="AM116">
            <v>109114.27619794433</v>
          </cell>
          <cell r="AN116">
            <v>0</v>
          </cell>
          <cell r="AO116">
            <v>207317.12477609422</v>
          </cell>
          <cell r="AP116">
            <v>130937.13143753319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109114.27619794433</v>
          </cell>
          <cell r="AY116">
            <v>109114.27619794433</v>
          </cell>
          <cell r="AZ116">
            <v>1091142.7619794433</v>
          </cell>
          <cell r="BA116">
            <v>309623.63746434811</v>
          </cell>
          <cell r="BB116">
            <v>0</v>
          </cell>
          <cell r="BC116">
            <v>105202</v>
          </cell>
          <cell r="BD116">
            <v>327342.82859383302</v>
          </cell>
          <cell r="BE116">
            <v>0</v>
          </cell>
          <cell r="BF116">
            <v>0</v>
          </cell>
          <cell r="BG116">
            <v>12721.8</v>
          </cell>
          <cell r="BH116">
            <v>33672</v>
          </cell>
          <cell r="BI116">
            <v>6734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CA116">
            <v>0</v>
          </cell>
          <cell r="CB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218228.55239588866</v>
          </cell>
          <cell r="CJ116">
            <v>0</v>
          </cell>
          <cell r="CO116">
            <v>0</v>
          </cell>
          <cell r="CU116">
            <v>0</v>
          </cell>
          <cell r="CX116">
            <v>0</v>
          </cell>
        </row>
        <row r="117">
          <cell r="G117">
            <v>173177.12015668923</v>
          </cell>
          <cell r="H117">
            <v>109114.27619794433</v>
          </cell>
          <cell r="I117">
            <v>870450.36497147323</v>
          </cell>
          <cell r="J117">
            <v>0</v>
          </cell>
          <cell r="K117">
            <v>891679.4445971942</v>
          </cell>
          <cell r="L117">
            <v>81577.320156689224</v>
          </cell>
          <cell r="M117">
            <v>59319.676384927567</v>
          </cell>
          <cell r="N117">
            <v>209786.03400915957</v>
          </cell>
          <cell r="O117">
            <v>50130.026384927565</v>
          </cell>
          <cell r="P117">
            <v>62573.586746740584</v>
          </cell>
          <cell r="R117">
            <v>69375.836746740591</v>
          </cell>
          <cell r="S117">
            <v>54629.386746740587</v>
          </cell>
          <cell r="T117">
            <v>538546.1042141465</v>
          </cell>
          <cell r="U117">
            <v>109114.27619794433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8474542.1180403437</v>
          </cell>
          <cell r="AW117">
            <v>1236628.4635767061</v>
          </cell>
          <cell r="AX117">
            <v>218228.55239588866</v>
          </cell>
          <cell r="AY117">
            <v>545571.38098972163</v>
          </cell>
          <cell r="AZ117">
            <v>2182285.5239588865</v>
          </cell>
          <cell r="BA117">
            <v>206415.75830956543</v>
          </cell>
          <cell r="BB117">
            <v>0</v>
          </cell>
          <cell r="BC117">
            <v>52601</v>
          </cell>
          <cell r="BD117">
            <v>763799.93338561035</v>
          </cell>
          <cell r="BE117">
            <v>0</v>
          </cell>
          <cell r="BF117">
            <v>109114.27619794433</v>
          </cell>
          <cell r="BG117">
            <v>0</v>
          </cell>
          <cell r="BH117">
            <v>0</v>
          </cell>
          <cell r="BI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CA117">
            <v>0</v>
          </cell>
          <cell r="CB117">
            <v>0</v>
          </cell>
          <cell r="CD117">
            <v>218228.55239588866</v>
          </cell>
          <cell r="CE117">
            <v>0</v>
          </cell>
          <cell r="CF117">
            <v>128098.27015668922</v>
          </cell>
          <cell r="CG117">
            <v>105202</v>
          </cell>
          <cell r="CH117">
            <v>0</v>
          </cell>
          <cell r="CI117">
            <v>0</v>
          </cell>
          <cell r="CJ117">
            <v>0</v>
          </cell>
          <cell r="CO117">
            <v>105202</v>
          </cell>
          <cell r="CU117">
            <v>105202</v>
          </cell>
          <cell r="CX117">
            <v>0</v>
          </cell>
        </row>
        <row r="118">
          <cell r="G118">
            <v>173177.12015668923</v>
          </cell>
          <cell r="H118">
            <v>109114.27619794433</v>
          </cell>
          <cell r="I118">
            <v>182513.78620369601</v>
          </cell>
          <cell r="J118">
            <v>0</v>
          </cell>
          <cell r="K118">
            <v>237781.18522591845</v>
          </cell>
          <cell r="L118">
            <v>81577.320156689224</v>
          </cell>
          <cell r="M118">
            <v>59319.676384927567</v>
          </cell>
          <cell r="N118">
            <v>44635.326384927568</v>
          </cell>
          <cell r="O118">
            <v>50130.026384927565</v>
          </cell>
          <cell r="P118">
            <v>62573.586746740584</v>
          </cell>
          <cell r="R118">
            <v>69375.836746740591</v>
          </cell>
          <cell r="S118">
            <v>54629.386746740587</v>
          </cell>
          <cell r="T118">
            <v>195834.94698696234</v>
          </cell>
          <cell r="U118">
            <v>109114.27619794433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1818571.269965739</v>
          </cell>
          <cell r="AW118">
            <v>1115654.399774651</v>
          </cell>
          <cell r="AX118">
            <v>109114.27619794433</v>
          </cell>
          <cell r="AY118">
            <v>436457.10479177732</v>
          </cell>
          <cell r="AZ118">
            <v>1200257.0381773876</v>
          </cell>
          <cell r="BA118">
            <v>172013.13192463786</v>
          </cell>
          <cell r="BB118">
            <v>96126.952769855139</v>
          </cell>
          <cell r="BC118">
            <v>0</v>
          </cell>
          <cell r="BD118">
            <v>24798.699135896437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140395.22015668923</v>
          </cell>
          <cell r="CA118">
            <v>0</v>
          </cell>
          <cell r="CB118">
            <v>0</v>
          </cell>
          <cell r="CD118">
            <v>218228.55239588866</v>
          </cell>
          <cell r="CE118">
            <v>0</v>
          </cell>
          <cell r="CF118">
            <v>256196.54031337844</v>
          </cell>
          <cell r="CG118">
            <v>210404</v>
          </cell>
          <cell r="CH118">
            <v>109114.27619794433</v>
          </cell>
          <cell r="CI118">
            <v>0</v>
          </cell>
          <cell r="CJ118">
            <v>0</v>
          </cell>
          <cell r="CO118">
            <v>105202</v>
          </cell>
          <cell r="CU118">
            <v>105202</v>
          </cell>
          <cell r="CX118">
            <v>0</v>
          </cell>
        </row>
        <row r="119">
          <cell r="G119">
            <v>173177.12015668923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59319.676384927567</v>
          </cell>
          <cell r="N119">
            <v>44635.326384927568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54557.138098972166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109114.27619794433</v>
          </cell>
          <cell r="AP119">
            <v>109114.27619794433</v>
          </cell>
          <cell r="AQ119">
            <v>109114.27619794433</v>
          </cell>
          <cell r="AR119">
            <v>109114.27619794433</v>
          </cell>
          <cell r="AS119">
            <v>109114.27619794433</v>
          </cell>
          <cell r="AT119">
            <v>0</v>
          </cell>
          <cell r="AU119">
            <v>0</v>
          </cell>
          <cell r="AW119">
            <v>0</v>
          </cell>
          <cell r="AX119">
            <v>54557.138098972166</v>
          </cell>
          <cell r="AY119">
            <v>218228.55239588866</v>
          </cell>
          <cell r="AZ119">
            <v>436457.10479177732</v>
          </cell>
          <cell r="BA119">
            <v>0</v>
          </cell>
          <cell r="BB119">
            <v>0</v>
          </cell>
          <cell r="BC119">
            <v>0</v>
          </cell>
          <cell r="BD119">
            <v>9919.4796543585762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CA119">
            <v>0</v>
          </cell>
          <cell r="CB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O119">
            <v>0</v>
          </cell>
          <cell r="CU119">
            <v>0</v>
          </cell>
          <cell r="CX119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4181-2D8C-4B7D-A8D5-5B4D97F923FB}">
  <dimension ref="A1:EH122"/>
  <sheetViews>
    <sheetView tabSelected="1" zoomScale="80" zoomScaleNormal="80" workbookViewId="0">
      <pane xSplit="3" ySplit="1" topLeftCell="DM88" activePane="bottomRight" state="frozen"/>
      <selection activeCell="DP92" sqref="DP92"/>
      <selection pane="topRight" activeCell="DP92" sqref="DP92"/>
      <selection pane="bottomLeft" activeCell="DP92" sqref="DP92"/>
      <selection pane="bottomRight" activeCell="DM95" sqref="DM95"/>
    </sheetView>
  </sheetViews>
  <sheetFormatPr defaultRowHeight="15" x14ac:dyDescent="0.25"/>
  <cols>
    <col min="1" max="1" width="7.85546875" style="18" customWidth="1"/>
    <col min="2" max="2" width="27.140625" customWidth="1"/>
    <col min="3" max="4" width="6.5703125" customWidth="1"/>
    <col min="5" max="5" width="9.42578125" customWidth="1"/>
    <col min="6" max="6" width="7.7109375" customWidth="1"/>
    <col min="7" max="7" width="8.42578125" bestFit="1" customWidth="1"/>
    <col min="8" max="13" width="13.85546875" customWidth="1"/>
    <col min="14" max="14" width="15" customWidth="1"/>
    <col min="15" max="52" width="13.85546875" customWidth="1"/>
    <col min="53" max="53" width="14.85546875" customWidth="1"/>
    <col min="54" max="95" width="13.85546875" customWidth="1"/>
    <col min="96" max="96" width="14.42578125" customWidth="1"/>
    <col min="97" max="107" width="13.85546875" customWidth="1"/>
    <col min="108" max="108" width="14.140625" customWidth="1"/>
    <col min="109" max="114" width="13.85546875" customWidth="1"/>
    <col min="115" max="115" width="15.140625" customWidth="1"/>
    <col min="116" max="116" width="13.85546875" customWidth="1"/>
    <col min="117" max="117" width="12.5703125" bestFit="1" customWidth="1"/>
    <col min="118" max="134" width="15.42578125" customWidth="1"/>
    <col min="135" max="135" width="14.85546875" customWidth="1"/>
    <col min="136" max="136" width="15.42578125" style="27" bestFit="1" customWidth="1"/>
    <col min="137" max="137" width="13.42578125" bestFit="1" customWidth="1"/>
    <col min="138" max="138" width="14.85546875" customWidth="1"/>
  </cols>
  <sheetData>
    <row r="1" spans="1:138" s="14" customFormat="1" ht="57" customHeight="1" x14ac:dyDescent="0.25">
      <c r="A1" s="117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18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4" t="s">
        <v>25</v>
      </c>
      <c r="AA1" s="118" t="s">
        <v>26</v>
      </c>
      <c r="AB1" s="14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14" t="s">
        <v>44</v>
      </c>
      <c r="AT1" s="14" t="s">
        <v>45</v>
      </c>
      <c r="AU1" s="14" t="s">
        <v>46</v>
      </c>
      <c r="AV1" s="14" t="s">
        <v>47</v>
      </c>
      <c r="AW1" s="14" t="s">
        <v>48</v>
      </c>
      <c r="AX1" s="118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5" t="s">
        <v>56</v>
      </c>
      <c r="BF1" s="5" t="s">
        <v>57</v>
      </c>
      <c r="BG1" s="5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14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8" t="s">
        <v>68</v>
      </c>
      <c r="BR1" s="8" t="s">
        <v>69</v>
      </c>
      <c r="BS1" s="118" t="s">
        <v>70</v>
      </c>
      <c r="BT1" s="118" t="s">
        <v>71</v>
      </c>
      <c r="BU1" s="118" t="s">
        <v>72</v>
      </c>
      <c r="BV1" s="118" t="s">
        <v>73</v>
      </c>
      <c r="BW1" s="118" t="s">
        <v>74</v>
      </c>
      <c r="BX1" s="118" t="s">
        <v>75</v>
      </c>
      <c r="BY1" s="118" t="s">
        <v>76</v>
      </c>
      <c r="BZ1" s="118" t="s">
        <v>77</v>
      </c>
      <c r="CA1" s="7" t="s">
        <v>78</v>
      </c>
      <c r="CB1" s="118" t="s">
        <v>79</v>
      </c>
      <c r="CC1" s="118" t="s">
        <v>80</v>
      </c>
      <c r="CD1" s="118" t="s">
        <v>81</v>
      </c>
      <c r="CE1" s="14" t="s">
        <v>82</v>
      </c>
      <c r="CF1" s="14" t="s">
        <v>83</v>
      </c>
      <c r="CG1" s="118" t="s">
        <v>84</v>
      </c>
      <c r="CH1" s="118" t="s">
        <v>85</v>
      </c>
      <c r="CI1" s="118" t="s">
        <v>86</v>
      </c>
      <c r="CJ1" s="8" t="s">
        <v>87</v>
      </c>
      <c r="CK1" s="14" t="s">
        <v>88</v>
      </c>
      <c r="CL1" s="118" t="s">
        <v>89</v>
      </c>
      <c r="CM1" s="14" t="s">
        <v>90</v>
      </c>
      <c r="CN1" s="14" t="s">
        <v>91</v>
      </c>
      <c r="CO1" s="119" t="s">
        <v>92</v>
      </c>
      <c r="CP1" s="14" t="s">
        <v>93</v>
      </c>
      <c r="CQ1" s="14" t="s">
        <v>94</v>
      </c>
      <c r="CR1" s="10" t="s">
        <v>95</v>
      </c>
      <c r="CS1" s="118" t="s">
        <v>96</v>
      </c>
      <c r="CT1" s="118" t="s">
        <v>97</v>
      </c>
      <c r="CU1" s="14" t="s">
        <v>98</v>
      </c>
      <c r="CV1" s="118" t="s">
        <v>99</v>
      </c>
      <c r="CW1" s="14" t="s">
        <v>100</v>
      </c>
      <c r="CX1" s="14" t="s">
        <v>101</v>
      </c>
      <c r="CY1" s="8" t="s">
        <v>102</v>
      </c>
      <c r="CZ1" s="8" t="s">
        <v>103</v>
      </c>
      <c r="DA1" s="8" t="s">
        <v>104</v>
      </c>
      <c r="DB1" s="14" t="s">
        <v>105</v>
      </c>
      <c r="DC1" s="14" t="s">
        <v>106</v>
      </c>
      <c r="DD1" s="11" t="s">
        <v>107</v>
      </c>
      <c r="DE1" s="8" t="s">
        <v>108</v>
      </c>
      <c r="DF1" s="8" t="s">
        <v>109</v>
      </c>
      <c r="DG1" s="8" t="s">
        <v>110</v>
      </c>
      <c r="DH1" s="8" t="s">
        <v>111</v>
      </c>
      <c r="DI1" s="14" t="s">
        <v>112</v>
      </c>
      <c r="DJ1" s="118" t="s">
        <v>113</v>
      </c>
      <c r="DK1" s="10" t="s">
        <v>114</v>
      </c>
      <c r="DL1" s="120" t="s">
        <v>115</v>
      </c>
      <c r="DM1" s="8" t="s">
        <v>116</v>
      </c>
      <c r="DN1" s="14" t="s">
        <v>117</v>
      </c>
      <c r="DO1" s="14" t="s">
        <v>118</v>
      </c>
      <c r="DP1" s="14" t="s">
        <v>119</v>
      </c>
      <c r="DQ1" s="6" t="s">
        <v>120</v>
      </c>
      <c r="DR1" s="121" t="s">
        <v>121</v>
      </c>
      <c r="DS1" s="122" t="s">
        <v>122</v>
      </c>
      <c r="DT1" s="122" t="s">
        <v>123</v>
      </c>
      <c r="DU1" s="123" t="s">
        <v>124</v>
      </c>
      <c r="DV1" s="4" t="s">
        <v>125</v>
      </c>
      <c r="DW1" s="5" t="s">
        <v>126</v>
      </c>
      <c r="DX1" s="7" t="s">
        <v>127</v>
      </c>
      <c r="DY1" s="8" t="s">
        <v>128</v>
      </c>
      <c r="DZ1" s="11" t="s">
        <v>129</v>
      </c>
      <c r="EA1" s="15" t="s">
        <v>115</v>
      </c>
      <c r="EB1" s="16" t="s">
        <v>92</v>
      </c>
      <c r="EC1" s="124" t="s">
        <v>130</v>
      </c>
      <c r="ED1" s="6" t="s">
        <v>120</v>
      </c>
      <c r="EE1" s="121" t="s">
        <v>121</v>
      </c>
      <c r="EF1" s="125" t="s">
        <v>131</v>
      </c>
      <c r="EG1" s="125" t="s">
        <v>397</v>
      </c>
      <c r="EH1" s="125" t="s">
        <v>133</v>
      </c>
    </row>
    <row r="2" spans="1:138" x14ac:dyDescent="0.25">
      <c r="A2" s="18">
        <v>202</v>
      </c>
      <c r="B2" t="s">
        <v>134</v>
      </c>
      <c r="C2" t="s">
        <v>135</v>
      </c>
      <c r="D2">
        <v>7</v>
      </c>
      <c r="E2">
        <v>222</v>
      </c>
      <c r="F2" s="19">
        <f>G2/E2</f>
        <v>0.92342342342342343</v>
      </c>
      <c r="G2">
        <v>205</v>
      </c>
      <c r="H2" s="20">
        <v>191050.75104188401</v>
      </c>
      <c r="I2" s="20">
        <v>110891.27068881014</v>
      </c>
      <c r="J2" s="20">
        <v>0</v>
      </c>
      <c r="K2" s="20">
        <v>0</v>
      </c>
      <c r="L2" s="20">
        <v>0</v>
      </c>
      <c r="M2" s="20">
        <v>44752.529598305518</v>
      </c>
      <c r="N2" s="20">
        <v>59866.796146808359</v>
      </c>
      <c r="O2" s="20">
        <v>0</v>
      </c>
      <c r="P2" s="20">
        <v>0</v>
      </c>
      <c r="Q2" s="20">
        <v>0</v>
      </c>
      <c r="R2" s="20"/>
      <c r="S2" s="20">
        <v>77625.750694703253</v>
      </c>
      <c r="T2" s="20">
        <v>60676.224767295193</v>
      </c>
      <c r="U2" s="20">
        <v>49716.317374927377</v>
      </c>
      <c r="V2" s="20">
        <v>55445.635344405069</v>
      </c>
      <c r="W2" s="20">
        <v>110891.27068881014</v>
      </c>
      <c r="X2" s="20">
        <v>110891.27068881014</v>
      </c>
      <c r="Y2" s="20">
        <v>110891.27068881014</v>
      </c>
      <c r="Z2" s="20">
        <v>0</v>
      </c>
      <c r="AA2" s="20"/>
      <c r="AB2" s="20">
        <v>221782.54137762028</v>
      </c>
      <c r="AC2" s="20">
        <v>66822.315389129435</v>
      </c>
      <c r="AD2" s="20">
        <v>110891.27068881014</v>
      </c>
      <c r="AE2" s="20">
        <v>33411.157694564718</v>
      </c>
      <c r="AF2" s="20">
        <v>221782.54137762028</v>
      </c>
      <c r="AG2" s="20">
        <v>66822.315389129435</v>
      </c>
      <c r="AH2" s="20">
        <v>221782.54137762028</v>
      </c>
      <c r="AI2" s="20">
        <v>66822.315389129406</v>
      </c>
      <c r="AJ2" s="20">
        <v>110891.27068881014</v>
      </c>
      <c r="AK2" s="20">
        <v>221782.54137762028</v>
      </c>
      <c r="AL2" s="20">
        <v>110891.27068881014</v>
      </c>
      <c r="AM2" s="20">
        <v>110891.27068881014</v>
      </c>
      <c r="AN2" s="20">
        <v>110891.27068881014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0</v>
      </c>
      <c r="AW2" s="20"/>
      <c r="AX2" s="20">
        <v>0</v>
      </c>
      <c r="AY2" s="20">
        <v>55445.635344405069</v>
      </c>
      <c r="AZ2" s="20">
        <v>110891.27068881014</v>
      </c>
      <c r="BA2" s="20">
        <v>665347.6241328608</v>
      </c>
      <c r="BB2" s="20">
        <v>133644.63077825887</v>
      </c>
      <c r="BC2" s="20">
        <v>0</v>
      </c>
      <c r="BD2" s="20">
        <v>0</v>
      </c>
      <c r="BE2" s="20">
        <v>20162.049216147298</v>
      </c>
      <c r="BF2" s="20">
        <v>0</v>
      </c>
      <c r="BG2" s="20">
        <v>0</v>
      </c>
      <c r="BH2" s="21">
        <f>21480-7160</f>
        <v>14320</v>
      </c>
      <c r="BI2" s="21">
        <f>21480-7160</f>
        <v>14320</v>
      </c>
      <c r="BJ2" s="20">
        <v>10740</v>
      </c>
      <c r="BK2" s="20">
        <v>0</v>
      </c>
      <c r="BL2" s="20"/>
      <c r="BM2" s="20">
        <v>14320</v>
      </c>
      <c r="BN2" s="20">
        <v>95036.99</v>
      </c>
      <c r="BO2" s="20">
        <v>1572.28</v>
      </c>
      <c r="BP2" s="20">
        <v>0</v>
      </c>
      <c r="BQ2" s="20">
        <v>0</v>
      </c>
      <c r="BR2" s="20">
        <v>0</v>
      </c>
      <c r="BS2" s="20">
        <v>0</v>
      </c>
      <c r="BT2" s="20">
        <v>0</v>
      </c>
      <c r="BU2" s="20">
        <v>0</v>
      </c>
      <c r="BV2" s="20">
        <v>0</v>
      </c>
      <c r="BW2" s="20">
        <v>0</v>
      </c>
      <c r="BX2" s="20">
        <v>0</v>
      </c>
      <c r="BY2" s="20">
        <v>0</v>
      </c>
      <c r="BZ2" s="20">
        <v>0</v>
      </c>
      <c r="CA2" s="20">
        <v>0</v>
      </c>
      <c r="CB2" s="20">
        <v>0</v>
      </c>
      <c r="CC2" s="20">
        <v>0</v>
      </c>
      <c r="CD2" s="20">
        <v>0</v>
      </c>
      <c r="CE2" s="20">
        <v>0</v>
      </c>
      <c r="CF2" s="20">
        <v>0</v>
      </c>
      <c r="CG2" s="20">
        <v>0</v>
      </c>
      <c r="CH2" s="20">
        <v>0</v>
      </c>
      <c r="CI2" s="20">
        <v>0</v>
      </c>
      <c r="CJ2" s="20">
        <v>0</v>
      </c>
      <c r="CK2" s="20">
        <v>0</v>
      </c>
      <c r="CL2" s="20"/>
      <c r="CM2" s="20">
        <v>0</v>
      </c>
      <c r="CN2" s="20">
        <v>0</v>
      </c>
      <c r="CO2" s="20">
        <v>55921.759999999995</v>
      </c>
      <c r="CP2" s="20">
        <v>0</v>
      </c>
      <c r="CQ2" s="20">
        <v>0</v>
      </c>
      <c r="CR2" s="20">
        <v>75000</v>
      </c>
      <c r="CS2" s="20">
        <v>8200</v>
      </c>
      <c r="CT2" s="20">
        <v>0</v>
      </c>
      <c r="CU2" s="20">
        <v>13194.421172022685</v>
      </c>
      <c r="CV2" s="20">
        <v>0</v>
      </c>
      <c r="CW2" s="20"/>
      <c r="CX2" s="20">
        <v>0</v>
      </c>
      <c r="CY2" s="20">
        <v>0</v>
      </c>
      <c r="CZ2" s="20">
        <v>0</v>
      </c>
      <c r="DA2" s="20">
        <v>0</v>
      </c>
      <c r="DB2" s="20">
        <v>22200</v>
      </c>
      <c r="DC2" s="20">
        <v>58662.844223278633</v>
      </c>
      <c r="DD2" s="20">
        <v>0</v>
      </c>
      <c r="DE2" s="20">
        <v>0</v>
      </c>
      <c r="DF2" s="20">
        <v>13859</v>
      </c>
      <c r="DG2" s="20">
        <v>0</v>
      </c>
      <c r="DH2" s="20">
        <v>0</v>
      </c>
      <c r="DI2" s="20"/>
      <c r="DJ2" s="20">
        <v>12650.000106543303</v>
      </c>
      <c r="DK2" s="22">
        <v>0</v>
      </c>
      <c r="DL2" s="20">
        <v>0</v>
      </c>
      <c r="DM2" s="20">
        <v>0</v>
      </c>
      <c r="DN2" s="20">
        <v>4053652.2162023801</v>
      </c>
      <c r="DO2" s="20">
        <f t="shared" ref="DO2:DO65" si="0">SUM(H2:Q2,V2:Z2,AB2:AW2,CE2:CF2,CK2,CM2:CN2,CP2:CQ2,CU2,DB2:DC2)</f>
        <v>2564202.6830984289</v>
      </c>
      <c r="DP2" s="21">
        <v>474031</v>
      </c>
      <c r="DQ2" s="20">
        <f t="shared" ref="DQ2:DQ33" si="1">SUM(BH2:BK2)</f>
        <v>39380</v>
      </c>
      <c r="DR2" s="20">
        <f t="shared" ref="DR2:DR33" si="2">SUM(R2,AA2,AX2,BS2:BZ2,CB2:CD2,CG2:CI2,CL2,CS2:CT2,CV2,DJ2)</f>
        <v>20850.000106543303</v>
      </c>
      <c r="DS2" s="20">
        <f>DP2-SUM(DQ2:DR2)</f>
        <v>413800.9998934567</v>
      </c>
      <c r="DT2" s="23">
        <f>DS2/DP2</f>
        <v>0.8729407990056699</v>
      </c>
      <c r="DU2" s="20">
        <f t="shared" ref="DU2:DU33" si="3">SUM(H2:Q2,S2:Z2,AB2:AW2,BL2,BQ2:BR2,CE2:CF2,CJ2:CK2,CM2:CN2,CP2:CQ2,CU2,CW2:DC2,DF2:DI2,DM2)-EC2</f>
        <v>2352278.9760418977</v>
      </c>
      <c r="DV2" s="20">
        <f t="shared" ref="DV2:DV33" si="4">SUM(AY2:BD2)</f>
        <v>965329.16094433493</v>
      </c>
      <c r="DW2" s="20">
        <f t="shared" ref="DW2:DW33" si="5">SUM(BE2:BG2)</f>
        <v>20162.049216147298</v>
      </c>
      <c r="DX2" s="20">
        <f t="shared" ref="DX2:DX33" si="6">SUM(BM2:BP2,CA2,CR2,DK2,)</f>
        <v>185929.27000000002</v>
      </c>
      <c r="DY2" s="20">
        <f t="shared" ref="DY2:DY33" si="7">DE2</f>
        <v>0</v>
      </c>
      <c r="DZ2" s="20">
        <f t="shared" ref="DZ2:DZ33" si="8">DD2</f>
        <v>0</v>
      </c>
      <c r="EA2" s="20">
        <f t="shared" ref="EA2:EA33" si="9">DL2</f>
        <v>0</v>
      </c>
      <c r="EB2" s="20">
        <f t="shared" ref="EB2:EB33" si="10">CO2</f>
        <v>55921.759999999995</v>
      </c>
      <c r="EC2" s="20">
        <f>DS2</f>
        <v>413800.9998934567</v>
      </c>
      <c r="ED2" s="20">
        <f>DQ2</f>
        <v>39380</v>
      </c>
      <c r="EE2" s="20">
        <f>DR2</f>
        <v>20850.000106543303</v>
      </c>
      <c r="EF2" s="20">
        <f>SUM(EC2:EE2)</f>
        <v>474031</v>
      </c>
      <c r="EG2" s="23">
        <f>EC2/EF2</f>
        <v>0.8729407990056699</v>
      </c>
      <c r="EH2" s="20">
        <f>SUM(DU2:EE2)</f>
        <v>4053652.2162023797</v>
      </c>
    </row>
    <row r="3" spans="1:138" x14ac:dyDescent="0.25">
      <c r="A3" s="18">
        <v>203</v>
      </c>
      <c r="B3" t="s">
        <v>136</v>
      </c>
      <c r="C3" t="s">
        <v>135</v>
      </c>
      <c r="D3">
        <v>6</v>
      </c>
      <c r="E3">
        <v>335</v>
      </c>
      <c r="F3" s="19">
        <f t="shared" ref="F3:F66" si="11">G3/E3</f>
        <v>0.68955223880597016</v>
      </c>
      <c r="G3">
        <v>231</v>
      </c>
      <c r="H3" s="20">
        <v>191050.75104188372</v>
      </c>
      <c r="I3" s="20">
        <v>110891.27068881014</v>
      </c>
      <c r="J3" s="20">
        <v>122331.79937332397</v>
      </c>
      <c r="K3" s="20">
        <v>0</v>
      </c>
      <c r="L3" s="20">
        <v>0</v>
      </c>
      <c r="M3" s="20">
        <v>89505.059196611037</v>
      </c>
      <c r="N3" s="20">
        <v>59866.796146808359</v>
      </c>
      <c r="O3" s="20">
        <v>0</v>
      </c>
      <c r="P3" s="20">
        <v>0</v>
      </c>
      <c r="Q3" s="20">
        <v>0</v>
      </c>
      <c r="R3" s="20"/>
      <c r="S3" s="20">
        <v>77625.750694703253</v>
      </c>
      <c r="T3" s="20">
        <v>60676.224767295193</v>
      </c>
      <c r="U3" s="20">
        <v>99432.634749854755</v>
      </c>
      <c r="V3" s="20">
        <v>110891.27068881014</v>
      </c>
      <c r="W3" s="20">
        <v>110891.27068881014</v>
      </c>
      <c r="X3" s="20">
        <v>110891.27068881014</v>
      </c>
      <c r="Y3" s="20">
        <v>110891.27068881014</v>
      </c>
      <c r="Z3" s="20">
        <v>0</v>
      </c>
      <c r="AA3" s="20"/>
      <c r="AB3" s="20">
        <v>110891.27068881014</v>
      </c>
      <c r="AC3" s="20">
        <v>33411.157694564718</v>
      </c>
      <c r="AD3" s="20">
        <v>332673.8120664304</v>
      </c>
      <c r="AE3" s="20">
        <v>133644.63077825887</v>
      </c>
      <c r="AF3" s="20">
        <v>110891.27068881014</v>
      </c>
      <c r="AG3" s="20">
        <v>33411.157694564718</v>
      </c>
      <c r="AH3" s="20">
        <v>332673.8120664304</v>
      </c>
      <c r="AI3" s="20">
        <v>100233.47308369415</v>
      </c>
      <c r="AJ3" s="20">
        <v>221782.54137762028</v>
      </c>
      <c r="AK3" s="20">
        <v>221782.54137762028</v>
      </c>
      <c r="AL3" s="20">
        <v>221782.54137762028</v>
      </c>
      <c r="AM3" s="20">
        <v>221782.54137762028</v>
      </c>
      <c r="AN3" s="20">
        <v>221782.54137762028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/>
      <c r="AX3" s="20">
        <v>0</v>
      </c>
      <c r="AY3" s="20">
        <v>110891.27068881014</v>
      </c>
      <c r="AZ3" s="20">
        <v>166336.9060332152</v>
      </c>
      <c r="BA3" s="20">
        <v>776238.89482167095</v>
      </c>
      <c r="BB3" s="20">
        <v>66822.315389129435</v>
      </c>
      <c r="BC3" s="20">
        <v>0</v>
      </c>
      <c r="BD3" s="20">
        <v>0</v>
      </c>
      <c r="BE3" s="20">
        <v>30243.073824220945</v>
      </c>
      <c r="BF3" s="20">
        <v>0</v>
      </c>
      <c r="BG3" s="20">
        <v>0</v>
      </c>
      <c r="BH3" s="21">
        <f>50120-21480</f>
        <v>28640</v>
      </c>
      <c r="BI3" s="21">
        <f>50120-21480</f>
        <v>28640</v>
      </c>
      <c r="BJ3" s="20">
        <v>10740</v>
      </c>
      <c r="BK3" s="20">
        <v>0</v>
      </c>
      <c r="BL3" s="20"/>
      <c r="BM3" s="20">
        <v>42960</v>
      </c>
      <c r="BN3" s="20">
        <v>142768.57</v>
      </c>
      <c r="BO3" s="20">
        <v>2361.9499999999998</v>
      </c>
      <c r="BP3" s="20">
        <v>0</v>
      </c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  <c r="BW3" s="20">
        <v>0</v>
      </c>
      <c r="BX3" s="20">
        <v>0</v>
      </c>
      <c r="BY3" s="20">
        <v>0</v>
      </c>
      <c r="BZ3" s="20">
        <v>0</v>
      </c>
      <c r="CA3" s="20">
        <v>0</v>
      </c>
      <c r="CB3" s="20">
        <v>0</v>
      </c>
      <c r="CC3" s="20">
        <v>0</v>
      </c>
      <c r="CD3" s="20">
        <v>0</v>
      </c>
      <c r="CE3" s="20">
        <v>0</v>
      </c>
      <c r="CF3" s="20">
        <v>0</v>
      </c>
      <c r="CG3" s="20">
        <v>0</v>
      </c>
      <c r="CH3" s="20">
        <v>0</v>
      </c>
      <c r="CI3" s="20">
        <v>0</v>
      </c>
      <c r="CJ3" s="20">
        <v>0</v>
      </c>
      <c r="CK3" s="20">
        <v>0</v>
      </c>
      <c r="CL3" s="20"/>
      <c r="CM3" s="20">
        <v>0</v>
      </c>
      <c r="CN3" s="20">
        <v>0</v>
      </c>
      <c r="CO3" s="20">
        <v>55921.759999999995</v>
      </c>
      <c r="CP3" s="20">
        <v>0</v>
      </c>
      <c r="CQ3" s="20">
        <v>0</v>
      </c>
      <c r="CR3" s="20">
        <v>0</v>
      </c>
      <c r="CS3" s="20">
        <v>4620</v>
      </c>
      <c r="CT3" s="20">
        <v>0</v>
      </c>
      <c r="CU3" s="20">
        <v>19571.736250000002</v>
      </c>
      <c r="CV3" s="20">
        <v>0</v>
      </c>
      <c r="CW3" s="20"/>
      <c r="CX3" s="20">
        <v>0</v>
      </c>
      <c r="CY3" s="20">
        <v>0</v>
      </c>
      <c r="CZ3" s="20">
        <v>0</v>
      </c>
      <c r="DA3" s="20">
        <v>0</v>
      </c>
      <c r="DB3" s="20">
        <v>33500</v>
      </c>
      <c r="DC3" s="20">
        <v>75705.760061322013</v>
      </c>
      <c r="DD3" s="20">
        <v>0</v>
      </c>
      <c r="DE3" s="20">
        <v>0</v>
      </c>
      <c r="DF3" s="20">
        <v>0</v>
      </c>
      <c r="DG3" s="20">
        <v>0</v>
      </c>
      <c r="DH3" s="20">
        <v>0</v>
      </c>
      <c r="DI3" s="20"/>
      <c r="DJ3" s="20">
        <v>25349.999535083771</v>
      </c>
      <c r="DK3" s="22">
        <v>0</v>
      </c>
      <c r="DL3" s="20">
        <v>0</v>
      </c>
      <c r="DM3" s="20">
        <v>0</v>
      </c>
      <c r="DN3" s="20">
        <v>5173000.8976676483</v>
      </c>
      <c r="DO3" s="20">
        <f t="shared" si="0"/>
        <v>3442731.5471636644</v>
      </c>
      <c r="DP3" s="21">
        <v>534152</v>
      </c>
      <c r="DQ3" s="20">
        <f t="shared" si="1"/>
        <v>68020</v>
      </c>
      <c r="DR3" s="20">
        <f t="shared" si="2"/>
        <v>29969.999535083771</v>
      </c>
      <c r="DS3" s="20">
        <f t="shared" ref="DS3:DS66" si="12">DP3-SUM(DQ3:DR3)</f>
        <v>436162.00046491623</v>
      </c>
      <c r="DT3" s="23">
        <f t="shared" ref="DT3:DT66" si="13">DS3/DP3</f>
        <v>0.81655034609046906</v>
      </c>
      <c r="DU3" s="20">
        <f t="shared" si="3"/>
        <v>3244304.156910602</v>
      </c>
      <c r="DV3" s="20">
        <f t="shared" si="4"/>
        <v>1120289.3869328257</v>
      </c>
      <c r="DW3" s="20">
        <f t="shared" si="5"/>
        <v>30243.073824220945</v>
      </c>
      <c r="DX3" s="20">
        <f t="shared" si="6"/>
        <v>188090.52000000002</v>
      </c>
      <c r="DY3" s="20">
        <f t="shared" si="7"/>
        <v>0</v>
      </c>
      <c r="DZ3" s="20">
        <f t="shared" si="8"/>
        <v>0</v>
      </c>
      <c r="EA3" s="20">
        <f t="shared" si="9"/>
        <v>0</v>
      </c>
      <c r="EB3" s="20">
        <f t="shared" si="10"/>
        <v>55921.759999999995</v>
      </c>
      <c r="EC3" s="20">
        <f t="shared" ref="EC3:EC66" si="14">DS3</f>
        <v>436162.00046491623</v>
      </c>
      <c r="ED3" s="20">
        <f t="shared" ref="ED3:EE66" si="15">DQ3</f>
        <v>68020</v>
      </c>
      <c r="EE3" s="20">
        <f t="shared" si="15"/>
        <v>29969.999535083771</v>
      </c>
      <c r="EF3" s="20">
        <f t="shared" ref="EF3:EF66" si="16">SUM(EC3:EE3)</f>
        <v>534152</v>
      </c>
      <c r="EG3" s="23">
        <f t="shared" ref="EG3:EG66" si="17">EC3/EF3</f>
        <v>0.81655034609046906</v>
      </c>
      <c r="EH3" s="20">
        <f t="shared" ref="EH3:EH66" si="18">SUM(DU3:EE3)</f>
        <v>5173000.8976676483</v>
      </c>
    </row>
    <row r="4" spans="1:138" x14ac:dyDescent="0.25">
      <c r="A4" s="18">
        <v>450</v>
      </c>
      <c r="B4" t="s">
        <v>137</v>
      </c>
      <c r="C4" t="s">
        <v>138</v>
      </c>
      <c r="D4">
        <v>8</v>
      </c>
      <c r="E4">
        <v>372</v>
      </c>
      <c r="F4" s="19">
        <f t="shared" si="11"/>
        <v>0.66129032258064513</v>
      </c>
      <c r="G4">
        <v>246</v>
      </c>
      <c r="H4" s="20">
        <v>191050.75104188372</v>
      </c>
      <c r="I4" s="20">
        <v>110891.27068881014</v>
      </c>
      <c r="J4" s="20">
        <v>183497.69905998593</v>
      </c>
      <c r="K4" s="20">
        <v>0</v>
      </c>
      <c r="L4" s="20">
        <v>187138.29131332185</v>
      </c>
      <c r="M4" s="20">
        <v>89505.059196611037</v>
      </c>
      <c r="N4" s="20">
        <v>59866.796146808359</v>
      </c>
      <c r="O4" s="20">
        <v>0</v>
      </c>
      <c r="P4" s="20">
        <v>49534.351124581444</v>
      </c>
      <c r="Q4" s="20">
        <f>139848.06275066-R4</f>
        <v>69924.031375329752</v>
      </c>
      <c r="R4" s="20">
        <v>69924.031375330247</v>
      </c>
      <c r="S4" s="20">
        <v>77625.750694703253</v>
      </c>
      <c r="T4" s="20">
        <v>60676.224767295193</v>
      </c>
      <c r="U4" s="20">
        <v>298297.90424956428</v>
      </c>
      <c r="V4" s="20">
        <v>110891.27068881014</v>
      </c>
      <c r="W4" s="20">
        <v>0</v>
      </c>
      <c r="X4" s="20">
        <v>0</v>
      </c>
      <c r="Y4" s="20">
        <v>0</v>
      </c>
      <c r="Z4" s="20">
        <v>0</v>
      </c>
      <c r="AA4" s="20"/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f>E4/24*AW$120</f>
        <v>1718814.6956765573</v>
      </c>
      <c r="AX4" s="20">
        <f>2696911.19747935-AW4</f>
        <v>978096.50180279277</v>
      </c>
      <c r="AY4" s="20">
        <v>221782.54137762028</v>
      </c>
      <c r="AZ4" s="20">
        <v>443565.08275524055</v>
      </c>
      <c r="BA4" s="20">
        <v>1552477.7896433419</v>
      </c>
      <c r="BB4" s="20">
        <v>334111.57694564719</v>
      </c>
      <c r="BC4" s="20">
        <v>96655.873025941983</v>
      </c>
      <c r="BD4" s="20">
        <v>0</v>
      </c>
      <c r="BE4" s="20">
        <v>15121.536912110472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60000</v>
      </c>
      <c r="BL4" s="20"/>
      <c r="BM4" s="20">
        <v>0</v>
      </c>
      <c r="BN4" s="20">
        <v>137654.48000000001</v>
      </c>
      <c r="BO4" s="20">
        <v>2277.34</v>
      </c>
      <c r="BP4" s="20">
        <v>0</v>
      </c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152914.74921665495</v>
      </c>
      <c r="BX4" s="20">
        <v>7319.7800000000007</v>
      </c>
      <c r="BY4" s="20">
        <v>27880</v>
      </c>
      <c r="BZ4" s="20">
        <v>0</v>
      </c>
      <c r="CA4" s="20">
        <v>0</v>
      </c>
      <c r="CB4" s="20">
        <v>0</v>
      </c>
      <c r="CC4" s="20">
        <v>0</v>
      </c>
      <c r="CD4" s="20">
        <v>44000</v>
      </c>
      <c r="CE4" s="20">
        <v>221782.54137762028</v>
      </c>
      <c r="CF4" s="20">
        <v>0</v>
      </c>
      <c r="CG4" s="20">
        <v>0</v>
      </c>
      <c r="CH4" s="20">
        <v>0</v>
      </c>
      <c r="CI4" s="20">
        <v>0</v>
      </c>
      <c r="CJ4" s="20">
        <v>0</v>
      </c>
      <c r="CK4" s="20">
        <v>0</v>
      </c>
      <c r="CL4" s="20"/>
      <c r="CM4" s="20">
        <v>0</v>
      </c>
      <c r="CN4" s="20">
        <v>0</v>
      </c>
      <c r="CO4" s="20">
        <v>615454.30000000005</v>
      </c>
      <c r="CP4" s="20">
        <v>0</v>
      </c>
      <c r="CQ4" s="20">
        <v>114084.97559574516</v>
      </c>
      <c r="CR4" s="20">
        <v>75000</v>
      </c>
      <c r="CS4" s="20">
        <v>4920</v>
      </c>
      <c r="CT4" s="20">
        <v>0</v>
      </c>
      <c r="CU4" s="20">
        <v>52403.128888888888</v>
      </c>
      <c r="CV4" s="20">
        <v>114084.97559574516</v>
      </c>
      <c r="CW4" s="20"/>
      <c r="CX4" s="20">
        <v>0</v>
      </c>
      <c r="CY4" s="20">
        <v>0</v>
      </c>
      <c r="CZ4" s="20">
        <v>0</v>
      </c>
      <c r="DA4" s="20">
        <v>0</v>
      </c>
      <c r="DB4" s="20">
        <v>37200</v>
      </c>
      <c r="DC4" s="20">
        <v>115076.66559496592</v>
      </c>
      <c r="DD4" s="20">
        <v>0</v>
      </c>
      <c r="DE4" s="20">
        <v>0</v>
      </c>
      <c r="DF4" s="20">
        <v>0</v>
      </c>
      <c r="DG4" s="20">
        <v>0</v>
      </c>
      <c r="DH4" s="20">
        <v>0</v>
      </c>
      <c r="DI4" s="20"/>
      <c r="DJ4" s="20">
        <v>10724.99975413084</v>
      </c>
      <c r="DK4" s="22">
        <v>0</v>
      </c>
      <c r="DL4" s="20">
        <v>0</v>
      </c>
      <c r="DM4" s="20">
        <v>150000</v>
      </c>
      <c r="DN4" s="20">
        <v>8862226.9658860397</v>
      </c>
      <c r="DO4" s="20">
        <f t="shared" si="0"/>
        <v>3311661.5277699195</v>
      </c>
      <c r="DP4" s="21">
        <v>568837</v>
      </c>
      <c r="DQ4" s="20">
        <f t="shared" si="1"/>
        <v>60000</v>
      </c>
      <c r="DR4" s="20">
        <f t="shared" si="2"/>
        <v>1409865.0377446541</v>
      </c>
      <c r="DS4" s="20">
        <f t="shared" si="12"/>
        <v>-901028.03774465411</v>
      </c>
      <c r="DT4" s="23">
        <f t="shared" si="13"/>
        <v>-1.5839828241564</v>
      </c>
      <c r="DU4" s="20">
        <f t="shared" si="3"/>
        <v>4799289.4452261366</v>
      </c>
      <c r="DV4" s="20">
        <f t="shared" si="4"/>
        <v>2648592.8637477919</v>
      </c>
      <c r="DW4" s="20">
        <f t="shared" si="5"/>
        <v>15121.536912110472</v>
      </c>
      <c r="DX4" s="20">
        <f t="shared" si="6"/>
        <v>214931.82</v>
      </c>
      <c r="DY4" s="20">
        <f t="shared" si="7"/>
        <v>0</v>
      </c>
      <c r="DZ4" s="20">
        <f t="shared" si="8"/>
        <v>0</v>
      </c>
      <c r="EA4" s="20">
        <f t="shared" si="9"/>
        <v>0</v>
      </c>
      <c r="EB4" s="20">
        <f t="shared" si="10"/>
        <v>615454.30000000005</v>
      </c>
      <c r="EC4" s="20">
        <f t="shared" si="14"/>
        <v>-901028.03774465411</v>
      </c>
      <c r="ED4" s="20">
        <f t="shared" si="15"/>
        <v>60000</v>
      </c>
      <c r="EE4" s="20">
        <f t="shared" si="15"/>
        <v>1409865.0377446541</v>
      </c>
      <c r="EF4" s="20">
        <f t="shared" si="16"/>
        <v>568837</v>
      </c>
      <c r="EG4" s="23">
        <f t="shared" si="17"/>
        <v>-1.5839828241564</v>
      </c>
      <c r="EH4" s="20">
        <f t="shared" si="18"/>
        <v>8862226.9658860397</v>
      </c>
    </row>
    <row r="5" spans="1:138" x14ac:dyDescent="0.25">
      <c r="A5" s="18">
        <v>452</v>
      </c>
      <c r="B5" t="s">
        <v>139</v>
      </c>
      <c r="C5" t="s">
        <v>138</v>
      </c>
      <c r="D5">
        <v>8</v>
      </c>
      <c r="E5">
        <v>599</v>
      </c>
      <c r="F5" s="19">
        <f t="shared" si="11"/>
        <v>0.8297161936560935</v>
      </c>
      <c r="G5">
        <v>497</v>
      </c>
      <c r="H5" s="20">
        <v>191050.75104188372</v>
      </c>
      <c r="I5" s="20">
        <v>110891.27068881014</v>
      </c>
      <c r="J5" s="20">
        <v>305829.4984333099</v>
      </c>
      <c r="K5" s="20">
        <v>0</v>
      </c>
      <c r="L5" s="20">
        <v>311897.15218886972</v>
      </c>
      <c r="M5" s="20">
        <v>89505.059196611037</v>
      </c>
      <c r="N5" s="20">
        <v>59866.796146808359</v>
      </c>
      <c r="O5" s="20">
        <v>67246.79081744951</v>
      </c>
      <c r="P5" s="20">
        <v>49534.351124581444</v>
      </c>
      <c r="Q5" s="20">
        <f>139848.06275066-R5</f>
        <v>69924.031375329752</v>
      </c>
      <c r="R5" s="20">
        <v>69924.031375330247</v>
      </c>
      <c r="S5" s="20">
        <v>77625.750694703253</v>
      </c>
      <c r="T5" s="20">
        <v>60676.224767295193</v>
      </c>
      <c r="U5" s="20">
        <v>447446.85637434642</v>
      </c>
      <c r="V5" s="20">
        <v>110891.27068881014</v>
      </c>
      <c r="W5" s="20">
        <v>0</v>
      </c>
      <c r="X5" s="20">
        <v>0</v>
      </c>
      <c r="Y5" s="20">
        <v>0</v>
      </c>
      <c r="Z5" s="20">
        <v>0</v>
      </c>
      <c r="AA5" s="20"/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f>E5/24*AW$120</f>
        <v>2767661.2976082196</v>
      </c>
      <c r="AX5" s="20">
        <f>4005572.86393752-AW5</f>
        <v>1237911.5663293004</v>
      </c>
      <c r="AY5" s="20">
        <v>221782.54137762028</v>
      </c>
      <c r="AZ5" s="20">
        <v>554456.35344405065</v>
      </c>
      <c r="BA5" s="20">
        <v>1663369.0603321521</v>
      </c>
      <c r="BB5" s="20">
        <v>233878.10386195302</v>
      </c>
      <c r="BC5" s="20">
        <v>96655.873025941983</v>
      </c>
      <c r="BD5" s="20">
        <v>0</v>
      </c>
      <c r="BE5" s="20">
        <v>110891.27068881014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65000</v>
      </c>
      <c r="BL5" s="20"/>
      <c r="BM5" s="20">
        <v>0</v>
      </c>
      <c r="BN5" s="20">
        <v>244198.19</v>
      </c>
      <c r="BO5" s="20">
        <v>4039.99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152914.74921665495</v>
      </c>
      <c r="BX5" s="20">
        <v>11199.78</v>
      </c>
      <c r="BY5" s="20">
        <v>34000</v>
      </c>
      <c r="BZ5" s="20">
        <v>0</v>
      </c>
      <c r="CA5" s="20">
        <v>45000</v>
      </c>
      <c r="CB5" s="20">
        <v>0</v>
      </c>
      <c r="CC5" s="20">
        <v>0</v>
      </c>
      <c r="CD5" s="20">
        <v>44000</v>
      </c>
      <c r="CE5" s="20">
        <v>221782.54137762028</v>
      </c>
      <c r="CF5" s="20">
        <v>0</v>
      </c>
      <c r="CG5" s="20">
        <v>140126.11598983698</v>
      </c>
      <c r="CH5" s="20">
        <v>114084.97559574516</v>
      </c>
      <c r="CI5" s="20">
        <v>0</v>
      </c>
      <c r="CJ5" s="20">
        <v>110891.27068881014</v>
      </c>
      <c r="CK5" s="20">
        <v>0</v>
      </c>
      <c r="CL5" s="20"/>
      <c r="CM5" s="20">
        <v>0</v>
      </c>
      <c r="CN5" s="20">
        <v>0</v>
      </c>
      <c r="CO5" s="20">
        <v>732137.76</v>
      </c>
      <c r="CP5" s="20">
        <v>0</v>
      </c>
      <c r="CQ5" s="20">
        <v>114084.97559574516</v>
      </c>
      <c r="CR5" s="20">
        <v>75000</v>
      </c>
      <c r="CS5" s="20">
        <v>19880</v>
      </c>
      <c r="CT5" s="20">
        <v>0</v>
      </c>
      <c r="CU5" s="20">
        <v>80121.335098684212</v>
      </c>
      <c r="CV5" s="20">
        <v>114084.97559574516</v>
      </c>
      <c r="CW5" s="20"/>
      <c r="CX5" s="20">
        <v>0</v>
      </c>
      <c r="CY5" s="20">
        <v>0</v>
      </c>
      <c r="CZ5" s="20">
        <v>5000</v>
      </c>
      <c r="DA5" s="20">
        <v>113945.66</v>
      </c>
      <c r="DB5" s="20">
        <v>59900</v>
      </c>
      <c r="DC5" s="20">
        <v>147057.90108774608</v>
      </c>
      <c r="DD5" s="20">
        <v>0</v>
      </c>
      <c r="DE5" s="20">
        <v>0</v>
      </c>
      <c r="DF5" s="20">
        <v>0</v>
      </c>
      <c r="DG5" s="20">
        <v>0</v>
      </c>
      <c r="DH5" s="20">
        <v>0</v>
      </c>
      <c r="DI5" s="20"/>
      <c r="DJ5" s="20">
        <v>44625.000201165676</v>
      </c>
      <c r="DK5" s="22">
        <v>0</v>
      </c>
      <c r="DL5" s="20">
        <v>374154.21424586966</v>
      </c>
      <c r="DM5" s="20">
        <v>450000</v>
      </c>
      <c r="DN5" s="20">
        <v>12426144.996275799</v>
      </c>
      <c r="DO5" s="20">
        <f t="shared" si="0"/>
        <v>4757245.022470478</v>
      </c>
      <c r="DP5" s="21">
        <v>1149237</v>
      </c>
      <c r="DQ5" s="20">
        <f t="shared" si="1"/>
        <v>65000</v>
      </c>
      <c r="DR5" s="20">
        <f t="shared" si="2"/>
        <v>1982751.1943037789</v>
      </c>
      <c r="DS5" s="20">
        <f t="shared" si="12"/>
        <v>-898514.19430377893</v>
      </c>
      <c r="DT5" s="23">
        <f t="shared" si="13"/>
        <v>-0.78183542150468432</v>
      </c>
      <c r="DU5" s="20">
        <f t="shared" si="3"/>
        <v>6921344.9792994121</v>
      </c>
      <c r="DV5" s="20">
        <f t="shared" si="4"/>
        <v>2770141.9320417182</v>
      </c>
      <c r="DW5" s="20">
        <f t="shared" si="5"/>
        <v>110891.27068881014</v>
      </c>
      <c r="DX5" s="20">
        <f t="shared" si="6"/>
        <v>368238.18</v>
      </c>
      <c r="DY5" s="20">
        <f t="shared" si="7"/>
        <v>0</v>
      </c>
      <c r="DZ5" s="20">
        <f t="shared" si="8"/>
        <v>0</v>
      </c>
      <c r="EA5" s="20">
        <f t="shared" si="9"/>
        <v>374154.21424586966</v>
      </c>
      <c r="EB5" s="20">
        <f t="shared" si="10"/>
        <v>732137.76</v>
      </c>
      <c r="EC5" s="20">
        <f t="shared" si="14"/>
        <v>-898514.19430377893</v>
      </c>
      <c r="ED5" s="20">
        <f t="shared" si="15"/>
        <v>65000</v>
      </c>
      <c r="EE5" s="20">
        <f t="shared" si="15"/>
        <v>1982751.1943037789</v>
      </c>
      <c r="EF5" s="20">
        <f t="shared" si="16"/>
        <v>1149237</v>
      </c>
      <c r="EG5" s="23">
        <f t="shared" si="17"/>
        <v>-0.78183542150468432</v>
      </c>
      <c r="EH5" s="20">
        <f t="shared" si="18"/>
        <v>12426145.336275809</v>
      </c>
    </row>
    <row r="6" spans="1:138" x14ac:dyDescent="0.25">
      <c r="A6" s="18">
        <v>462</v>
      </c>
      <c r="B6" t="s">
        <v>140</v>
      </c>
      <c r="C6" t="s">
        <v>141</v>
      </c>
      <c r="D6">
        <v>8</v>
      </c>
      <c r="E6">
        <v>514</v>
      </c>
      <c r="F6" s="19">
        <f t="shared" si="11"/>
        <v>0</v>
      </c>
      <c r="G6">
        <v>0</v>
      </c>
      <c r="H6" s="20">
        <v>191050.75104188372</v>
      </c>
      <c r="I6" s="20">
        <v>110891.27068881014</v>
      </c>
      <c r="J6" s="20">
        <v>261993.93699120215</v>
      </c>
      <c r="K6" s="20">
        <v>0</v>
      </c>
      <c r="L6" s="20">
        <v>249517.72175109579</v>
      </c>
      <c r="M6" s="20">
        <v>0</v>
      </c>
      <c r="N6" s="20">
        <v>59866.796146808359</v>
      </c>
      <c r="O6" s="20">
        <v>58280.552041789575</v>
      </c>
      <c r="P6" s="20">
        <v>49534.351124581444</v>
      </c>
      <c r="Q6" s="20">
        <v>69924.031375330247</v>
      </c>
      <c r="R6" s="20"/>
      <c r="S6" s="20">
        <v>77625.750694703253</v>
      </c>
      <c r="T6" s="20">
        <v>60676.224767295193</v>
      </c>
      <c r="U6" s="20">
        <v>49716.317374927377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/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2005283.8116226499</v>
      </c>
      <c r="AX6" s="20"/>
      <c r="AY6" s="20">
        <v>110891.27068881014</v>
      </c>
      <c r="AZ6" s="20">
        <v>221782.54137762028</v>
      </c>
      <c r="BA6" s="20">
        <v>1108912.7068881013</v>
      </c>
      <c r="BB6" s="20">
        <v>66822.315389129435</v>
      </c>
      <c r="BC6" s="20">
        <v>48327.936512970991</v>
      </c>
      <c r="BD6" s="20">
        <v>0</v>
      </c>
      <c r="BE6" s="20">
        <v>20162.049216147298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/>
      <c r="BL6" s="20">
        <v>70000</v>
      </c>
      <c r="BM6" s="20">
        <v>0</v>
      </c>
      <c r="BN6" s="20">
        <v>0</v>
      </c>
      <c r="BO6" s="20">
        <v>0</v>
      </c>
      <c r="BP6" s="20">
        <v>12300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  <c r="CE6" s="20">
        <v>0</v>
      </c>
      <c r="CF6" s="20">
        <v>0</v>
      </c>
      <c r="CG6" s="20">
        <v>0</v>
      </c>
      <c r="CH6" s="20">
        <v>0</v>
      </c>
      <c r="CI6" s="20">
        <v>0</v>
      </c>
      <c r="CJ6" s="20">
        <v>0</v>
      </c>
      <c r="CK6" s="20">
        <v>0</v>
      </c>
      <c r="CL6" s="20"/>
      <c r="CM6" s="20">
        <v>0</v>
      </c>
      <c r="CN6" s="20">
        <v>0</v>
      </c>
      <c r="CO6" s="20">
        <v>188124.15999999997</v>
      </c>
      <c r="CP6" s="20">
        <v>0</v>
      </c>
      <c r="CQ6" s="20">
        <v>0</v>
      </c>
      <c r="CR6" s="20">
        <v>0</v>
      </c>
      <c r="CS6" s="20">
        <v>0</v>
      </c>
      <c r="CT6" s="20">
        <v>0</v>
      </c>
      <c r="CU6" s="20">
        <v>64521.5</v>
      </c>
      <c r="CV6" s="20"/>
      <c r="CW6" s="20">
        <v>114084.97559574516</v>
      </c>
      <c r="CX6" s="20">
        <v>150000</v>
      </c>
      <c r="CY6" s="20">
        <v>0</v>
      </c>
      <c r="CZ6" s="20">
        <v>0</v>
      </c>
      <c r="DA6" s="20">
        <v>0</v>
      </c>
      <c r="DB6" s="20">
        <v>51400</v>
      </c>
      <c r="DC6" s="20">
        <v>79459.059511762593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3025.0000655651093</v>
      </c>
      <c r="DJ6" s="20"/>
      <c r="DK6" s="22">
        <v>0</v>
      </c>
      <c r="DL6" s="20">
        <v>0</v>
      </c>
      <c r="DM6" s="20">
        <v>0</v>
      </c>
      <c r="DN6" s="20">
        <v>5554175.0308669303</v>
      </c>
      <c r="DO6" s="20">
        <f t="shared" si="0"/>
        <v>3251723.7822959139</v>
      </c>
      <c r="DP6" s="21">
        <v>0</v>
      </c>
      <c r="DQ6" s="20">
        <f t="shared" si="1"/>
        <v>0</v>
      </c>
      <c r="DR6" s="20">
        <f t="shared" si="2"/>
        <v>0</v>
      </c>
      <c r="DS6" s="20">
        <f t="shared" si="12"/>
        <v>0</v>
      </c>
      <c r="DT6" s="24" t="s">
        <v>142</v>
      </c>
      <c r="DU6" s="20">
        <f t="shared" si="3"/>
        <v>3776852.0507941502</v>
      </c>
      <c r="DV6" s="20">
        <f t="shared" si="4"/>
        <v>1556736.7708566322</v>
      </c>
      <c r="DW6" s="20">
        <f t="shared" si="5"/>
        <v>20162.049216147298</v>
      </c>
      <c r="DX6" s="20">
        <f t="shared" si="6"/>
        <v>12300</v>
      </c>
      <c r="DY6" s="20">
        <f t="shared" si="7"/>
        <v>0</v>
      </c>
      <c r="DZ6" s="20">
        <f t="shared" si="8"/>
        <v>0</v>
      </c>
      <c r="EA6" s="20">
        <f t="shared" si="9"/>
        <v>0</v>
      </c>
      <c r="EB6" s="20">
        <f t="shared" si="10"/>
        <v>188124.15999999997</v>
      </c>
      <c r="EC6" s="20">
        <f t="shared" si="14"/>
        <v>0</v>
      </c>
      <c r="ED6" s="20">
        <f t="shared" si="15"/>
        <v>0</v>
      </c>
      <c r="EE6" s="20">
        <f t="shared" si="15"/>
        <v>0</v>
      </c>
      <c r="EF6" s="20">
        <f t="shared" si="16"/>
        <v>0</v>
      </c>
      <c r="EG6" s="24" t="s">
        <v>142</v>
      </c>
      <c r="EH6" s="20">
        <f t="shared" si="18"/>
        <v>5554175.0308669303</v>
      </c>
    </row>
    <row r="7" spans="1:138" x14ac:dyDescent="0.25">
      <c r="A7" s="18">
        <v>204</v>
      </c>
      <c r="B7" t="s">
        <v>143</v>
      </c>
      <c r="C7" t="s">
        <v>135</v>
      </c>
      <c r="D7">
        <v>1</v>
      </c>
      <c r="E7">
        <v>655</v>
      </c>
      <c r="F7" s="19">
        <f t="shared" si="11"/>
        <v>0.34503816793893127</v>
      </c>
      <c r="G7">
        <v>226</v>
      </c>
      <c r="H7" s="20">
        <v>191050.75104188372</v>
      </c>
      <c r="I7" s="20">
        <v>110891.27068881014</v>
      </c>
      <c r="J7" s="20">
        <v>244663.59874664794</v>
      </c>
      <c r="K7" s="20">
        <v>0</v>
      </c>
      <c r="L7" s="20">
        <v>0</v>
      </c>
      <c r="M7" s="20">
        <v>89505.059196611037</v>
      </c>
      <c r="N7" s="20">
        <v>59866.796146808359</v>
      </c>
      <c r="O7" s="20">
        <v>71729.910205279477</v>
      </c>
      <c r="P7" s="20">
        <v>0</v>
      </c>
      <c r="Q7" s="20">
        <v>0</v>
      </c>
      <c r="R7" s="20"/>
      <c r="S7" s="20">
        <v>77625.750694703253</v>
      </c>
      <c r="T7" s="20">
        <v>60676.224767295193</v>
      </c>
      <c r="U7" s="20">
        <v>198865.26949970951</v>
      </c>
      <c r="V7" s="20">
        <v>110891.27068881014</v>
      </c>
      <c r="W7" s="20">
        <v>110891.27068881014</v>
      </c>
      <c r="X7" s="20">
        <v>110891.27068881014</v>
      </c>
      <c r="Y7" s="20">
        <v>110891.27068881014</v>
      </c>
      <c r="Z7" s="20">
        <v>277228.17672202532</v>
      </c>
      <c r="AA7" s="20"/>
      <c r="AB7" s="20">
        <v>332673.8120664304</v>
      </c>
      <c r="AC7" s="20">
        <v>100233.47308369415</v>
      </c>
      <c r="AD7" s="20">
        <v>0</v>
      </c>
      <c r="AE7" s="20">
        <v>0</v>
      </c>
      <c r="AF7" s="20">
        <v>332673.8120664304</v>
      </c>
      <c r="AG7" s="20">
        <v>100233.47308369415</v>
      </c>
      <c r="AH7" s="20">
        <v>443565.08275524055</v>
      </c>
      <c r="AI7" s="20">
        <v>133644.63077825887</v>
      </c>
      <c r="AJ7" s="20">
        <v>443565.08275524055</v>
      </c>
      <c r="AK7" s="20">
        <v>443565.08275524055</v>
      </c>
      <c r="AL7" s="20">
        <v>443565.08275524055</v>
      </c>
      <c r="AM7" s="20">
        <v>443565.08275524055</v>
      </c>
      <c r="AN7" s="20">
        <v>332673.8120664304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/>
      <c r="AX7" s="20">
        <v>0</v>
      </c>
      <c r="AY7" s="20">
        <v>110891.27068881014</v>
      </c>
      <c r="AZ7" s="20">
        <v>221782.54137762028</v>
      </c>
      <c r="BA7" s="20">
        <v>1108912.7068881013</v>
      </c>
      <c r="BB7" s="20">
        <v>133644.63077825887</v>
      </c>
      <c r="BC7" s="20">
        <v>0</v>
      </c>
      <c r="BD7" s="20">
        <v>0</v>
      </c>
      <c r="BE7" s="20">
        <v>1885151.6017097724</v>
      </c>
      <c r="BF7" s="20">
        <v>33411.157694564718</v>
      </c>
      <c r="BG7" s="20">
        <v>332673.8120664304</v>
      </c>
      <c r="BH7" s="21">
        <f>35800-7160</f>
        <v>28640</v>
      </c>
      <c r="BI7" s="21">
        <f>35800-7160</f>
        <v>28640</v>
      </c>
      <c r="BJ7" s="20">
        <v>10740</v>
      </c>
      <c r="BK7" s="20">
        <v>0</v>
      </c>
      <c r="BL7" s="20"/>
      <c r="BM7" s="20">
        <v>14320</v>
      </c>
      <c r="BN7" s="20">
        <v>262523.71000000002</v>
      </c>
      <c r="BO7" s="20">
        <v>4343.16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  <c r="CD7" s="20">
        <v>0</v>
      </c>
      <c r="CE7" s="20">
        <v>0</v>
      </c>
      <c r="CF7" s="20">
        <v>0</v>
      </c>
      <c r="CG7" s="20">
        <v>0</v>
      </c>
      <c r="CH7" s="20">
        <v>0</v>
      </c>
      <c r="CI7" s="20">
        <v>0</v>
      </c>
      <c r="CJ7" s="20">
        <v>0</v>
      </c>
      <c r="CK7" s="20">
        <v>0</v>
      </c>
      <c r="CL7" s="20"/>
      <c r="CM7" s="20">
        <v>0</v>
      </c>
      <c r="CN7" s="20">
        <v>0</v>
      </c>
      <c r="CO7" s="20">
        <v>111843.51999999999</v>
      </c>
      <c r="CP7" s="20">
        <v>0</v>
      </c>
      <c r="CQ7" s="20">
        <v>0</v>
      </c>
      <c r="CR7" s="20">
        <v>0</v>
      </c>
      <c r="CS7" s="20">
        <v>4520</v>
      </c>
      <c r="CT7" s="20">
        <v>0</v>
      </c>
      <c r="CU7" s="20">
        <v>36601.476539589443</v>
      </c>
      <c r="CV7" s="20">
        <v>0</v>
      </c>
      <c r="CW7" s="20"/>
      <c r="CX7" s="20">
        <v>0</v>
      </c>
      <c r="CY7" s="20">
        <v>0</v>
      </c>
      <c r="CZ7" s="20">
        <v>0</v>
      </c>
      <c r="DA7" s="20">
        <v>0</v>
      </c>
      <c r="DB7" s="20">
        <v>65500</v>
      </c>
      <c r="DC7" s="20">
        <v>148153.71402129438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/>
      <c r="DJ7" s="20">
        <v>18150</v>
      </c>
      <c r="DK7" s="22">
        <v>0</v>
      </c>
      <c r="DL7" s="20">
        <v>0</v>
      </c>
      <c r="DM7" s="20">
        <v>0</v>
      </c>
      <c r="DN7" s="20">
        <v>9936069.6191505957</v>
      </c>
      <c r="DO7" s="20">
        <f t="shared" si="0"/>
        <v>5288714.262985331</v>
      </c>
      <c r="DP7" s="21">
        <v>522591</v>
      </c>
      <c r="DQ7" s="20">
        <f t="shared" si="1"/>
        <v>68020</v>
      </c>
      <c r="DR7" s="20">
        <f t="shared" si="2"/>
        <v>22670</v>
      </c>
      <c r="DS7" s="20">
        <f t="shared" si="12"/>
        <v>431901</v>
      </c>
      <c r="DT7" s="23">
        <f t="shared" si="13"/>
        <v>0.82646084605360592</v>
      </c>
      <c r="DU7" s="20">
        <f t="shared" si="3"/>
        <v>5193980.5079470389</v>
      </c>
      <c r="DV7" s="20">
        <f t="shared" si="4"/>
        <v>1575231.1497327907</v>
      </c>
      <c r="DW7" s="20">
        <f t="shared" si="5"/>
        <v>2251236.5714707673</v>
      </c>
      <c r="DX7" s="20">
        <f t="shared" si="6"/>
        <v>281186.87</v>
      </c>
      <c r="DY7" s="20">
        <f t="shared" si="7"/>
        <v>0</v>
      </c>
      <c r="DZ7" s="20">
        <f t="shared" si="8"/>
        <v>0</v>
      </c>
      <c r="EA7" s="20">
        <f t="shared" si="9"/>
        <v>0</v>
      </c>
      <c r="EB7" s="20">
        <f t="shared" si="10"/>
        <v>111843.51999999999</v>
      </c>
      <c r="EC7" s="20">
        <f t="shared" si="14"/>
        <v>431901</v>
      </c>
      <c r="ED7" s="20">
        <f t="shared" si="15"/>
        <v>68020</v>
      </c>
      <c r="EE7" s="20">
        <f t="shared" si="15"/>
        <v>22670</v>
      </c>
      <c r="EF7" s="20">
        <f t="shared" si="16"/>
        <v>522591</v>
      </c>
      <c r="EG7" s="23">
        <f t="shared" si="17"/>
        <v>0.82646084605360592</v>
      </c>
      <c r="EH7" s="20">
        <f t="shared" si="18"/>
        <v>9936069.6191505957</v>
      </c>
    </row>
    <row r="8" spans="1:138" x14ac:dyDescent="0.25">
      <c r="A8" s="18">
        <v>1058</v>
      </c>
      <c r="B8" t="s">
        <v>144</v>
      </c>
      <c r="C8" t="s">
        <v>138</v>
      </c>
      <c r="D8">
        <v>7</v>
      </c>
      <c r="E8">
        <v>330</v>
      </c>
      <c r="F8" s="19">
        <f t="shared" si="11"/>
        <v>0.47575757575757577</v>
      </c>
      <c r="G8">
        <v>157</v>
      </c>
      <c r="H8" s="20">
        <v>191050.75104188372</v>
      </c>
      <c r="I8" s="20">
        <v>110891.27068881014</v>
      </c>
      <c r="J8" s="20">
        <v>168206.22413832045</v>
      </c>
      <c r="K8" s="20">
        <v>0</v>
      </c>
      <c r="L8" s="20">
        <v>187138.29131332185</v>
      </c>
      <c r="M8" s="20">
        <v>89505.059196611037</v>
      </c>
      <c r="N8" s="20">
        <v>59866.796146808359</v>
      </c>
      <c r="O8" s="20">
        <v>0</v>
      </c>
      <c r="P8" s="20">
        <v>49534.351124581444</v>
      </c>
      <c r="Q8" s="20">
        <v>69924.031375330247</v>
      </c>
      <c r="R8" s="20"/>
      <c r="S8" s="20">
        <v>77625.750694703253</v>
      </c>
      <c r="T8" s="20">
        <v>60676.224767295193</v>
      </c>
      <c r="U8" s="20">
        <v>99432.634749854755</v>
      </c>
      <c r="V8" s="20">
        <v>110891.27068881014</v>
      </c>
      <c r="W8" s="20">
        <v>0</v>
      </c>
      <c r="X8" s="20">
        <v>0</v>
      </c>
      <c r="Y8" s="20">
        <v>0</v>
      </c>
      <c r="Z8" s="20">
        <v>0</v>
      </c>
      <c r="AA8" s="20"/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665347.6241328608</v>
      </c>
      <c r="AS8" s="20">
        <v>643169.36999509879</v>
      </c>
      <c r="AT8" s="20">
        <v>144158.65189545319</v>
      </c>
      <c r="AU8" s="20">
        <v>66534.76241328608</v>
      </c>
      <c r="AV8" s="20">
        <v>0</v>
      </c>
      <c r="AW8" s="20"/>
      <c r="AX8" s="20">
        <v>0</v>
      </c>
      <c r="AY8" s="20">
        <v>55445.635344405069</v>
      </c>
      <c r="AZ8" s="20">
        <v>110891.27068881014</v>
      </c>
      <c r="BA8" s="20">
        <v>221782.54137762028</v>
      </c>
      <c r="BB8" s="20">
        <v>0</v>
      </c>
      <c r="BC8" s="20">
        <v>0</v>
      </c>
      <c r="BD8" s="20">
        <v>0</v>
      </c>
      <c r="BE8" s="20">
        <v>25202.561520184121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/>
      <c r="BM8" s="20">
        <v>0</v>
      </c>
      <c r="BN8" s="20">
        <v>53412.85</v>
      </c>
      <c r="BO8" s="20">
        <v>864.91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/>
      <c r="CM8" s="20">
        <v>0</v>
      </c>
      <c r="CN8" s="20">
        <v>0</v>
      </c>
      <c r="CO8" s="20">
        <v>188124.15999999997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39828.5</v>
      </c>
      <c r="CV8" s="20">
        <v>0</v>
      </c>
      <c r="CW8" s="20"/>
      <c r="CX8" s="20">
        <v>0</v>
      </c>
      <c r="CY8" s="20">
        <v>0</v>
      </c>
      <c r="CZ8" s="20">
        <v>0</v>
      </c>
      <c r="DA8" s="20">
        <v>0</v>
      </c>
      <c r="DB8" s="20">
        <v>33000</v>
      </c>
      <c r="DC8" s="20">
        <v>51637.128680034184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/>
      <c r="DJ8" s="20">
        <v>18152</v>
      </c>
      <c r="DK8" s="22">
        <v>0</v>
      </c>
      <c r="DL8" s="20">
        <v>0</v>
      </c>
      <c r="DM8" s="20">
        <v>0</v>
      </c>
      <c r="DN8" s="20">
        <v>3592294.6219740827</v>
      </c>
      <c r="DO8" s="20">
        <f t="shared" si="0"/>
        <v>2680684.0828312105</v>
      </c>
      <c r="DP8" s="21">
        <v>363039</v>
      </c>
      <c r="DQ8" s="20">
        <f t="shared" si="1"/>
        <v>0</v>
      </c>
      <c r="DR8" s="20">
        <f t="shared" si="2"/>
        <v>18152</v>
      </c>
      <c r="DS8" s="20">
        <f t="shared" si="12"/>
        <v>344887</v>
      </c>
      <c r="DT8" s="23">
        <f t="shared" si="13"/>
        <v>0.94999986227375022</v>
      </c>
      <c r="DU8" s="20">
        <f t="shared" si="3"/>
        <v>2573531.6930430634</v>
      </c>
      <c r="DV8" s="20">
        <f t="shared" si="4"/>
        <v>388119.44741083548</v>
      </c>
      <c r="DW8" s="20">
        <f t="shared" si="5"/>
        <v>25202.561520184121</v>
      </c>
      <c r="DX8" s="20">
        <f t="shared" si="6"/>
        <v>54277.760000000002</v>
      </c>
      <c r="DY8" s="20">
        <f t="shared" si="7"/>
        <v>0</v>
      </c>
      <c r="DZ8" s="20">
        <f t="shared" si="8"/>
        <v>0</v>
      </c>
      <c r="EA8" s="20">
        <f t="shared" si="9"/>
        <v>0</v>
      </c>
      <c r="EB8" s="20">
        <f t="shared" si="10"/>
        <v>188124.15999999997</v>
      </c>
      <c r="EC8" s="20">
        <f t="shared" si="14"/>
        <v>344887</v>
      </c>
      <c r="ED8" s="20">
        <f t="shared" si="15"/>
        <v>0</v>
      </c>
      <c r="EE8" s="20">
        <f t="shared" si="15"/>
        <v>18152</v>
      </c>
      <c r="EF8" s="20">
        <f t="shared" si="16"/>
        <v>363039</v>
      </c>
      <c r="EG8" s="23">
        <f t="shared" si="17"/>
        <v>0.94999986227375022</v>
      </c>
      <c r="EH8" s="20">
        <f t="shared" si="18"/>
        <v>3592294.6219740827</v>
      </c>
    </row>
    <row r="9" spans="1:138" x14ac:dyDescent="0.25">
      <c r="A9" s="18">
        <v>205</v>
      </c>
      <c r="B9" t="s">
        <v>145</v>
      </c>
      <c r="C9" t="s">
        <v>135</v>
      </c>
      <c r="D9">
        <v>4</v>
      </c>
      <c r="E9">
        <v>657</v>
      </c>
      <c r="F9" s="19">
        <f t="shared" si="11"/>
        <v>0.46118721461187212</v>
      </c>
      <c r="G9">
        <v>303</v>
      </c>
      <c r="H9" s="20">
        <v>191050.75104188372</v>
      </c>
      <c r="I9" s="20">
        <v>110891.27068881014</v>
      </c>
      <c r="J9" s="20">
        <v>244663.59874664794</v>
      </c>
      <c r="K9" s="20">
        <v>0</v>
      </c>
      <c r="L9" s="20">
        <v>0</v>
      </c>
      <c r="M9" s="20">
        <v>89505.059196611037</v>
      </c>
      <c r="N9" s="20">
        <v>59866.796146808359</v>
      </c>
      <c r="O9" s="20">
        <v>71729.910205279477</v>
      </c>
      <c r="P9" s="20">
        <v>0</v>
      </c>
      <c r="Q9" s="20">
        <v>0</v>
      </c>
      <c r="R9" s="20"/>
      <c r="S9" s="20">
        <v>77625.750694703253</v>
      </c>
      <c r="T9" s="20">
        <v>60676.224767295193</v>
      </c>
      <c r="U9" s="20">
        <v>149148.95212478214</v>
      </c>
      <c r="V9" s="20">
        <v>110891.27068881014</v>
      </c>
      <c r="W9" s="20">
        <v>110891.27068881014</v>
      </c>
      <c r="X9" s="20">
        <v>110891.27068881014</v>
      </c>
      <c r="Y9" s="20">
        <v>110891.27068881014</v>
      </c>
      <c r="Z9" s="20">
        <v>277228.17672202532</v>
      </c>
      <c r="AA9" s="20"/>
      <c r="AB9" s="20">
        <v>443565.08275524055</v>
      </c>
      <c r="AC9" s="20">
        <v>133644.63077825887</v>
      </c>
      <c r="AD9" s="20">
        <v>0</v>
      </c>
      <c r="AE9" s="20">
        <v>0</v>
      </c>
      <c r="AF9" s="20">
        <v>443565.08275524055</v>
      </c>
      <c r="AG9" s="20">
        <v>133644.63077825887</v>
      </c>
      <c r="AH9" s="20">
        <v>443565.08275524055</v>
      </c>
      <c r="AI9" s="20">
        <v>133644.63077825887</v>
      </c>
      <c r="AJ9" s="20">
        <v>443565.08275524055</v>
      </c>
      <c r="AK9" s="20">
        <v>443565.08275524055</v>
      </c>
      <c r="AL9" s="20">
        <v>443565.08275524055</v>
      </c>
      <c r="AM9" s="20">
        <v>332673.8120664304</v>
      </c>
      <c r="AN9" s="20">
        <v>443565.08275524055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/>
      <c r="AX9" s="20">
        <v>0</v>
      </c>
      <c r="AY9" s="20">
        <v>110891.27068881014</v>
      </c>
      <c r="AZ9" s="20">
        <v>221782.54137762028</v>
      </c>
      <c r="BA9" s="20">
        <v>776238.89482167095</v>
      </c>
      <c r="BB9" s="20">
        <v>200466.94616738829</v>
      </c>
      <c r="BC9" s="20">
        <v>0</v>
      </c>
      <c r="BD9" s="20">
        <v>0</v>
      </c>
      <c r="BE9" s="20">
        <v>1607923.4249877471</v>
      </c>
      <c r="BF9" s="20">
        <v>0</v>
      </c>
      <c r="BG9" s="20">
        <v>332673.8120664304</v>
      </c>
      <c r="BH9" s="21">
        <f>150360-71600</f>
        <v>78760</v>
      </c>
      <c r="BI9" s="21">
        <f>150360-71600</f>
        <v>78760</v>
      </c>
      <c r="BJ9" s="20">
        <v>10740</v>
      </c>
      <c r="BK9" s="20">
        <v>0</v>
      </c>
      <c r="BL9" s="20"/>
      <c r="BM9" s="20">
        <v>143200</v>
      </c>
      <c r="BN9" s="20">
        <v>275308.95</v>
      </c>
      <c r="BO9" s="20">
        <v>4554.68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/>
      <c r="CM9" s="20">
        <v>0</v>
      </c>
      <c r="CN9" s="20">
        <v>0</v>
      </c>
      <c r="CO9" s="20">
        <v>111843.51999999999</v>
      </c>
      <c r="CP9" s="20">
        <v>0</v>
      </c>
      <c r="CQ9" s="20">
        <v>0</v>
      </c>
      <c r="CR9" s="20">
        <v>0</v>
      </c>
      <c r="CS9" s="20">
        <v>6060</v>
      </c>
      <c r="CT9" s="20">
        <v>172800</v>
      </c>
      <c r="CU9" s="20">
        <v>33946.542231075699</v>
      </c>
      <c r="CV9" s="20">
        <v>0</v>
      </c>
      <c r="CW9" s="20"/>
      <c r="CX9" s="20">
        <v>0</v>
      </c>
      <c r="CY9" s="20">
        <v>0</v>
      </c>
      <c r="CZ9" s="20">
        <v>0</v>
      </c>
      <c r="DA9" s="20">
        <v>0</v>
      </c>
      <c r="DB9" s="20">
        <v>65700</v>
      </c>
      <c r="DC9" s="20">
        <v>145500.39712489111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/>
      <c r="DJ9" s="20">
        <v>22275.000336021185</v>
      </c>
      <c r="DK9" s="22">
        <v>0</v>
      </c>
      <c r="DL9" s="20">
        <v>0</v>
      </c>
      <c r="DM9" s="20">
        <v>0</v>
      </c>
      <c r="DN9" s="20">
        <v>10013940.836579634</v>
      </c>
      <c r="DO9" s="20">
        <f t="shared" si="0"/>
        <v>5572210.8685471639</v>
      </c>
      <c r="DP9" s="21">
        <v>700641</v>
      </c>
      <c r="DQ9" s="20">
        <f t="shared" si="1"/>
        <v>168260</v>
      </c>
      <c r="DR9" s="20">
        <f t="shared" si="2"/>
        <v>201135.00033602118</v>
      </c>
      <c r="DS9" s="20">
        <f t="shared" si="12"/>
        <v>331245.99966397882</v>
      </c>
      <c r="DT9" s="23">
        <f t="shared" si="13"/>
        <v>0.47277564353781582</v>
      </c>
      <c r="DU9" s="20">
        <f t="shared" si="3"/>
        <v>5528415.796469965</v>
      </c>
      <c r="DV9" s="20">
        <f t="shared" si="4"/>
        <v>1309379.6530554895</v>
      </c>
      <c r="DW9" s="20">
        <f t="shared" si="5"/>
        <v>1940597.2370541776</v>
      </c>
      <c r="DX9" s="20">
        <f t="shared" si="6"/>
        <v>423063.63</v>
      </c>
      <c r="DY9" s="20">
        <f t="shared" si="7"/>
        <v>0</v>
      </c>
      <c r="DZ9" s="20">
        <f t="shared" si="8"/>
        <v>0</v>
      </c>
      <c r="EA9" s="20">
        <f t="shared" si="9"/>
        <v>0</v>
      </c>
      <c r="EB9" s="20">
        <f t="shared" si="10"/>
        <v>111843.51999999999</v>
      </c>
      <c r="EC9" s="20">
        <f t="shared" si="14"/>
        <v>331245.99966397882</v>
      </c>
      <c r="ED9" s="20">
        <f t="shared" si="15"/>
        <v>168260</v>
      </c>
      <c r="EE9" s="20">
        <f t="shared" si="15"/>
        <v>201135.00033602118</v>
      </c>
      <c r="EF9" s="20">
        <f t="shared" si="16"/>
        <v>700641</v>
      </c>
      <c r="EG9" s="23">
        <f t="shared" si="17"/>
        <v>0.47277564353781582</v>
      </c>
      <c r="EH9" s="20">
        <f t="shared" si="18"/>
        <v>10013940.836579634</v>
      </c>
    </row>
    <row r="10" spans="1:138" x14ac:dyDescent="0.25">
      <c r="A10" s="18">
        <v>206</v>
      </c>
      <c r="B10" t="s">
        <v>146</v>
      </c>
      <c r="C10" t="s">
        <v>135</v>
      </c>
      <c r="D10">
        <v>7</v>
      </c>
      <c r="E10">
        <v>482</v>
      </c>
      <c r="F10" s="19">
        <f t="shared" si="11"/>
        <v>0.53526970954356845</v>
      </c>
      <c r="G10">
        <v>258</v>
      </c>
      <c r="H10" s="20">
        <v>191050.75104188372</v>
      </c>
      <c r="I10" s="20">
        <v>110891.27068881014</v>
      </c>
      <c r="J10" s="20">
        <v>183497.69905998593</v>
      </c>
      <c r="K10" s="20">
        <v>0</v>
      </c>
      <c r="L10" s="20">
        <v>0</v>
      </c>
      <c r="M10" s="20">
        <v>89505.059196611037</v>
      </c>
      <c r="N10" s="20">
        <v>59866.796146808359</v>
      </c>
      <c r="O10" s="20">
        <v>53797.432653959608</v>
      </c>
      <c r="P10" s="20">
        <v>0</v>
      </c>
      <c r="Q10" s="20">
        <v>0</v>
      </c>
      <c r="R10" s="20"/>
      <c r="S10" s="20">
        <v>77625.750694703253</v>
      </c>
      <c r="T10" s="20">
        <v>60676.224767295193</v>
      </c>
      <c r="U10" s="20">
        <v>99432.634749854755</v>
      </c>
      <c r="V10" s="20">
        <v>110891.27068881014</v>
      </c>
      <c r="W10" s="20">
        <v>110891.27068881014</v>
      </c>
      <c r="X10" s="20">
        <v>110891.27068881014</v>
      </c>
      <c r="Y10" s="20">
        <v>110891.27068881014</v>
      </c>
      <c r="Z10" s="20">
        <v>166336.9060332152</v>
      </c>
      <c r="AA10" s="20"/>
      <c r="AB10" s="20">
        <v>221782.54137762028</v>
      </c>
      <c r="AC10" s="20">
        <v>66822.315389129435</v>
      </c>
      <c r="AD10" s="20">
        <v>110891.27068881014</v>
      </c>
      <c r="AE10" s="20">
        <v>33411.157694564718</v>
      </c>
      <c r="AF10" s="20">
        <v>221782.54137762028</v>
      </c>
      <c r="AG10" s="20">
        <v>66822.315389129435</v>
      </c>
      <c r="AH10" s="20">
        <v>332673.8120664304</v>
      </c>
      <c r="AI10" s="20">
        <v>100233.47308369415</v>
      </c>
      <c r="AJ10" s="20">
        <v>332673.8120664304</v>
      </c>
      <c r="AK10" s="20">
        <v>221782.54137762028</v>
      </c>
      <c r="AL10" s="20">
        <v>443565.08275524055</v>
      </c>
      <c r="AM10" s="20">
        <v>443565.08275524055</v>
      </c>
      <c r="AN10" s="20">
        <v>332673.8120664304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/>
      <c r="AX10" s="20">
        <v>0</v>
      </c>
      <c r="AY10" s="20">
        <v>110891.27068881014</v>
      </c>
      <c r="AZ10" s="20">
        <v>221782.54137762028</v>
      </c>
      <c r="BA10" s="20">
        <v>998021.43619929126</v>
      </c>
      <c r="BB10" s="20">
        <v>334111.57694564719</v>
      </c>
      <c r="BC10" s="20">
        <v>0</v>
      </c>
      <c r="BD10" s="20">
        <v>114084.97559574516</v>
      </c>
      <c r="BE10" s="20">
        <v>5040.5123040368244</v>
      </c>
      <c r="BF10" s="20">
        <v>0</v>
      </c>
      <c r="BG10" s="20">
        <v>0</v>
      </c>
      <c r="BH10" s="21">
        <f>64440-28640</f>
        <v>35800</v>
      </c>
      <c r="BI10" s="21">
        <f>64440-28640</f>
        <v>35800</v>
      </c>
      <c r="BJ10" s="20">
        <v>0</v>
      </c>
      <c r="BK10" s="20">
        <v>0</v>
      </c>
      <c r="BL10" s="20"/>
      <c r="BM10" s="20">
        <v>57280</v>
      </c>
      <c r="BN10" s="20">
        <v>204137.75</v>
      </c>
      <c r="BO10" s="20">
        <v>3377.23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/>
      <c r="CM10" s="20">
        <v>0</v>
      </c>
      <c r="CN10" s="20">
        <v>0</v>
      </c>
      <c r="CO10" s="20">
        <v>55921.759999999995</v>
      </c>
      <c r="CP10" s="20">
        <v>0</v>
      </c>
      <c r="CQ10" s="20">
        <v>0</v>
      </c>
      <c r="CR10" s="20">
        <v>0</v>
      </c>
      <c r="CS10" s="20">
        <v>5160</v>
      </c>
      <c r="CT10" s="20">
        <v>0</v>
      </c>
      <c r="CU10" s="20">
        <v>26384.643307086615</v>
      </c>
      <c r="CV10" s="20">
        <v>0</v>
      </c>
      <c r="CW10" s="20"/>
      <c r="CX10" s="20">
        <v>0</v>
      </c>
      <c r="CY10" s="20">
        <v>0</v>
      </c>
      <c r="CZ10" s="20">
        <v>0</v>
      </c>
      <c r="DA10" s="20">
        <v>0</v>
      </c>
      <c r="DB10" s="20">
        <v>48200</v>
      </c>
      <c r="DC10" s="20">
        <v>100606.60863169841</v>
      </c>
      <c r="DD10" s="20">
        <v>0</v>
      </c>
      <c r="DE10" s="20">
        <v>0</v>
      </c>
      <c r="DF10" s="20">
        <v>13859</v>
      </c>
      <c r="DG10" s="20">
        <v>0</v>
      </c>
      <c r="DH10" s="20">
        <v>0</v>
      </c>
      <c r="DI10" s="20"/>
      <c r="DJ10" s="20">
        <v>31524.999864399433</v>
      </c>
      <c r="DK10" s="22">
        <v>0</v>
      </c>
      <c r="DL10" s="20">
        <v>0</v>
      </c>
      <c r="DM10" s="20">
        <v>0</v>
      </c>
      <c r="DN10" s="20">
        <v>6866909.6707906639</v>
      </c>
      <c r="DO10" s="20">
        <f t="shared" si="0"/>
        <v>4402382.0076032607</v>
      </c>
      <c r="DP10" s="21">
        <v>596586</v>
      </c>
      <c r="DQ10" s="20">
        <f t="shared" si="1"/>
        <v>71600</v>
      </c>
      <c r="DR10" s="20">
        <f t="shared" si="2"/>
        <v>36684.999864399433</v>
      </c>
      <c r="DS10" s="20">
        <f t="shared" si="12"/>
        <v>488301.00013560057</v>
      </c>
      <c r="DT10" s="23">
        <f t="shared" si="13"/>
        <v>0.818492220963282</v>
      </c>
      <c r="DU10" s="20">
        <f t="shared" si="3"/>
        <v>4165674.6176795131</v>
      </c>
      <c r="DV10" s="20">
        <f t="shared" si="4"/>
        <v>1778891.800807114</v>
      </c>
      <c r="DW10" s="20">
        <f t="shared" si="5"/>
        <v>5040.5123040368244</v>
      </c>
      <c r="DX10" s="20">
        <f t="shared" si="6"/>
        <v>264794.98</v>
      </c>
      <c r="DY10" s="20">
        <f t="shared" si="7"/>
        <v>0</v>
      </c>
      <c r="DZ10" s="20">
        <f t="shared" si="8"/>
        <v>0</v>
      </c>
      <c r="EA10" s="20">
        <f t="shared" si="9"/>
        <v>0</v>
      </c>
      <c r="EB10" s="20">
        <f t="shared" si="10"/>
        <v>55921.759999999995</v>
      </c>
      <c r="EC10" s="20">
        <f t="shared" si="14"/>
        <v>488301.00013560057</v>
      </c>
      <c r="ED10" s="20">
        <f t="shared" si="15"/>
        <v>71600</v>
      </c>
      <c r="EE10" s="20">
        <f t="shared" si="15"/>
        <v>36684.999864399433</v>
      </c>
      <c r="EF10" s="20">
        <f t="shared" si="16"/>
        <v>596586</v>
      </c>
      <c r="EG10" s="23">
        <f t="shared" si="17"/>
        <v>0.818492220963282</v>
      </c>
      <c r="EH10" s="20">
        <f t="shared" si="18"/>
        <v>6866909.670790663</v>
      </c>
    </row>
    <row r="11" spans="1:138" x14ac:dyDescent="0.25">
      <c r="A11" s="18">
        <v>402</v>
      </c>
      <c r="B11" t="s">
        <v>147</v>
      </c>
      <c r="C11" t="s">
        <v>138</v>
      </c>
      <c r="D11">
        <v>1</v>
      </c>
      <c r="E11">
        <v>577</v>
      </c>
      <c r="F11" s="19">
        <f t="shared" si="11"/>
        <v>0.23223570190641249</v>
      </c>
      <c r="G11">
        <v>134</v>
      </c>
      <c r="H11" s="20">
        <v>191050.75104188372</v>
      </c>
      <c r="I11" s="20">
        <v>110891.27068881014</v>
      </c>
      <c r="J11" s="20">
        <v>290538.02351164439</v>
      </c>
      <c r="K11" s="20">
        <v>0</v>
      </c>
      <c r="L11" s="20">
        <v>311897.15218886972</v>
      </c>
      <c r="M11" s="20">
        <v>89505.059196611037</v>
      </c>
      <c r="N11" s="20">
        <v>59866.796146808359</v>
      </c>
      <c r="O11" s="20">
        <v>62763.671429619535</v>
      </c>
      <c r="P11" s="20">
        <v>49534.351124581444</v>
      </c>
      <c r="Q11" s="20">
        <v>69924.031375330247</v>
      </c>
      <c r="R11" s="20"/>
      <c r="S11" s="20">
        <v>77625.750694703253</v>
      </c>
      <c r="T11" s="20">
        <v>60676.224767295193</v>
      </c>
      <c r="U11" s="20">
        <v>248581.58687463688</v>
      </c>
      <c r="V11" s="20">
        <v>110891.27068881014</v>
      </c>
      <c r="W11" s="20">
        <v>0</v>
      </c>
      <c r="X11" s="20">
        <v>0</v>
      </c>
      <c r="Y11" s="20">
        <v>0</v>
      </c>
      <c r="Z11" s="20">
        <v>0</v>
      </c>
      <c r="AA11" s="20"/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787328.0218905519</v>
      </c>
      <c r="AS11" s="20">
        <v>754060.64068390895</v>
      </c>
      <c r="AT11" s="20">
        <v>598812.86171957478</v>
      </c>
      <c r="AU11" s="20">
        <v>532278.09930628864</v>
      </c>
      <c r="AV11" s="20">
        <v>0</v>
      </c>
      <c r="AW11" s="20"/>
      <c r="AX11" s="20">
        <v>0</v>
      </c>
      <c r="AY11" s="20">
        <v>55445.635344405069</v>
      </c>
      <c r="AZ11" s="20">
        <v>55445.635344405069</v>
      </c>
      <c r="BA11" s="20">
        <v>110891.27068881014</v>
      </c>
      <c r="BB11" s="20">
        <v>0</v>
      </c>
      <c r="BC11" s="20">
        <v>0</v>
      </c>
      <c r="BD11" s="20">
        <v>0</v>
      </c>
      <c r="BE11" s="20">
        <v>25202.561520184121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/>
      <c r="BM11" s="20">
        <v>0</v>
      </c>
      <c r="BN11" s="20">
        <v>110690.76</v>
      </c>
      <c r="BO11" s="20">
        <v>1715.58</v>
      </c>
      <c r="BP11" s="20">
        <v>0</v>
      </c>
      <c r="BQ11" s="20">
        <v>114084.97559574516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/>
      <c r="CM11" s="20">
        <v>0</v>
      </c>
      <c r="CN11" s="20">
        <v>0</v>
      </c>
      <c r="CO11" s="20">
        <v>167765.28</v>
      </c>
      <c r="CP11" s="20">
        <v>0</v>
      </c>
      <c r="CQ11" s="20">
        <v>114084.97559574516</v>
      </c>
      <c r="CR11" s="20">
        <v>0</v>
      </c>
      <c r="CS11" s="20">
        <v>0</v>
      </c>
      <c r="CT11" s="20">
        <v>0</v>
      </c>
      <c r="CU11" s="20">
        <v>77286.291850152906</v>
      </c>
      <c r="CV11" s="20">
        <v>0</v>
      </c>
      <c r="CW11" s="20"/>
      <c r="CX11" s="20">
        <v>0</v>
      </c>
      <c r="CY11" s="20">
        <v>0</v>
      </c>
      <c r="CZ11" s="20">
        <v>0</v>
      </c>
      <c r="DA11" s="20">
        <v>0</v>
      </c>
      <c r="DB11" s="20">
        <v>57700</v>
      </c>
      <c r="DC11" s="20">
        <v>78590.227940449477</v>
      </c>
      <c r="DD11" s="20">
        <v>14517.582790175453</v>
      </c>
      <c r="DE11" s="20">
        <v>690480</v>
      </c>
      <c r="DF11" s="20">
        <v>0</v>
      </c>
      <c r="DG11" s="20">
        <v>33080</v>
      </c>
      <c r="DH11" s="20">
        <v>0</v>
      </c>
      <c r="DI11" s="20"/>
      <c r="DJ11" s="20">
        <v>174.99999022111297</v>
      </c>
      <c r="DK11" s="22">
        <v>0</v>
      </c>
      <c r="DL11" s="20">
        <v>0</v>
      </c>
      <c r="DM11" s="20">
        <v>0</v>
      </c>
      <c r="DN11" s="20">
        <v>6113381.339990221</v>
      </c>
      <c r="DO11" s="20">
        <f t="shared" si="0"/>
        <v>4347003.4963796409</v>
      </c>
      <c r="DP11" s="21">
        <v>309855</v>
      </c>
      <c r="DQ11" s="20">
        <f t="shared" si="1"/>
        <v>0</v>
      </c>
      <c r="DR11" s="20">
        <f t="shared" si="2"/>
        <v>174.99999022111297</v>
      </c>
      <c r="DS11" s="20">
        <f t="shared" si="12"/>
        <v>309680.00000977889</v>
      </c>
      <c r="DT11" s="23">
        <f t="shared" si="13"/>
        <v>0.99943521973109639</v>
      </c>
      <c r="DU11" s="20">
        <f t="shared" si="3"/>
        <v>4571372.0343022421</v>
      </c>
      <c r="DV11" s="20">
        <f t="shared" si="4"/>
        <v>221782.54137762028</v>
      </c>
      <c r="DW11" s="20">
        <f t="shared" si="5"/>
        <v>25202.561520184121</v>
      </c>
      <c r="DX11" s="20">
        <f t="shared" si="6"/>
        <v>112406.34</v>
      </c>
      <c r="DY11" s="20">
        <f t="shared" si="7"/>
        <v>690480</v>
      </c>
      <c r="DZ11" s="20">
        <f t="shared" si="8"/>
        <v>14517.582790175453</v>
      </c>
      <c r="EA11" s="20">
        <f t="shared" si="9"/>
        <v>0</v>
      </c>
      <c r="EB11" s="20">
        <f t="shared" si="10"/>
        <v>167765.28</v>
      </c>
      <c r="EC11" s="20">
        <f t="shared" si="14"/>
        <v>309680.00000977889</v>
      </c>
      <c r="ED11" s="20">
        <f t="shared" si="15"/>
        <v>0</v>
      </c>
      <c r="EE11" s="20">
        <f t="shared" si="15"/>
        <v>174.99999022111297</v>
      </c>
      <c r="EF11" s="20">
        <f t="shared" si="16"/>
        <v>309855</v>
      </c>
      <c r="EG11" s="23">
        <f t="shared" si="17"/>
        <v>0.99943521973109639</v>
      </c>
      <c r="EH11" s="20">
        <f t="shared" si="18"/>
        <v>6113381.3399902219</v>
      </c>
    </row>
    <row r="12" spans="1:138" x14ac:dyDescent="0.25">
      <c r="A12" s="18">
        <v>212</v>
      </c>
      <c r="B12" t="s">
        <v>148</v>
      </c>
      <c r="C12" t="s">
        <v>135</v>
      </c>
      <c r="D12">
        <v>6</v>
      </c>
      <c r="E12">
        <v>452</v>
      </c>
      <c r="F12" s="19">
        <f t="shared" si="11"/>
        <v>5.7522123893805309E-2</v>
      </c>
      <c r="G12">
        <v>26</v>
      </c>
      <c r="H12" s="20">
        <v>191050.75104188372</v>
      </c>
      <c r="I12" s="20">
        <v>110891.27068881014</v>
      </c>
      <c r="J12" s="20">
        <v>168206.22413832045</v>
      </c>
      <c r="K12" s="20">
        <v>0</v>
      </c>
      <c r="L12" s="20">
        <v>0</v>
      </c>
      <c r="M12" s="20">
        <v>89505.059196611037</v>
      </c>
      <c r="N12" s="20">
        <v>59866.796146808359</v>
      </c>
      <c r="O12" s="20">
        <v>49314.313266129648</v>
      </c>
      <c r="P12" s="20">
        <v>0</v>
      </c>
      <c r="Q12" s="20">
        <v>0</v>
      </c>
      <c r="R12" s="20"/>
      <c r="S12" s="20">
        <v>77625.750694703253</v>
      </c>
      <c r="T12" s="20">
        <v>60676.224767295193</v>
      </c>
      <c r="U12" s="20">
        <v>99432.634749854755</v>
      </c>
      <c r="V12" s="20">
        <v>110891.27068881014</v>
      </c>
      <c r="W12" s="20">
        <v>110891.27068881014</v>
      </c>
      <c r="X12" s="20">
        <v>110891.27068881014</v>
      </c>
      <c r="Y12" s="20">
        <v>110891.27068881014</v>
      </c>
      <c r="Z12" s="20">
        <v>166336.9060332152</v>
      </c>
      <c r="AA12" s="20"/>
      <c r="AB12" s="20">
        <v>0</v>
      </c>
      <c r="AC12" s="20">
        <v>0</v>
      </c>
      <c r="AD12" s="20">
        <v>443565.08275524055</v>
      </c>
      <c r="AE12" s="20">
        <v>133644.63077825887</v>
      </c>
      <c r="AF12" s="20">
        <v>0</v>
      </c>
      <c r="AG12" s="20">
        <v>0</v>
      </c>
      <c r="AH12" s="20">
        <v>332673.8120664304</v>
      </c>
      <c r="AI12" s="20">
        <v>100233.47308369415</v>
      </c>
      <c r="AJ12" s="20">
        <v>332673.8120664304</v>
      </c>
      <c r="AK12" s="20">
        <v>332673.8120664304</v>
      </c>
      <c r="AL12" s="20">
        <v>443565.08275524055</v>
      </c>
      <c r="AM12" s="20">
        <v>332673.8120664304</v>
      </c>
      <c r="AN12" s="20">
        <v>221782.54137762028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/>
      <c r="AX12" s="20">
        <v>0</v>
      </c>
      <c r="AY12" s="20">
        <v>55445.635344405069</v>
      </c>
      <c r="AZ12" s="20">
        <v>110891.27068881014</v>
      </c>
      <c r="BA12" s="20">
        <v>443565.08275524055</v>
      </c>
      <c r="BB12" s="20">
        <v>0</v>
      </c>
      <c r="BC12" s="20">
        <v>0</v>
      </c>
      <c r="BD12" s="20">
        <v>0</v>
      </c>
      <c r="BE12" s="20">
        <v>110891.27068881014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/>
      <c r="BM12" s="20">
        <v>0</v>
      </c>
      <c r="BN12" s="20">
        <v>0</v>
      </c>
      <c r="BO12" s="20">
        <v>0</v>
      </c>
      <c r="BP12" s="20">
        <v>10925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/>
      <c r="CM12" s="20">
        <v>0</v>
      </c>
      <c r="CN12" s="20">
        <v>0</v>
      </c>
      <c r="CO12" s="20">
        <v>55921.759999999995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23963.943627450979</v>
      </c>
      <c r="CV12" s="20">
        <v>0</v>
      </c>
      <c r="CW12" s="20"/>
      <c r="CX12" s="20">
        <v>0</v>
      </c>
      <c r="CY12" s="20">
        <v>0</v>
      </c>
      <c r="CZ12" s="20">
        <v>0</v>
      </c>
      <c r="DA12" s="20">
        <v>0</v>
      </c>
      <c r="DB12" s="20">
        <v>45200</v>
      </c>
      <c r="DC12" s="20">
        <v>79063.080344747825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/>
      <c r="DJ12" s="20">
        <v>2800.0001069158316</v>
      </c>
      <c r="DK12" s="22">
        <v>0</v>
      </c>
      <c r="DL12" s="20">
        <v>0</v>
      </c>
      <c r="DM12" s="20">
        <v>0</v>
      </c>
      <c r="DN12" s="20">
        <v>5128624.1160510294</v>
      </c>
      <c r="DO12" s="20">
        <f t="shared" si="0"/>
        <v>4100449.4862549934</v>
      </c>
      <c r="DP12" s="21">
        <v>60121</v>
      </c>
      <c r="DQ12" s="20">
        <f t="shared" si="1"/>
        <v>0</v>
      </c>
      <c r="DR12" s="20">
        <f t="shared" si="2"/>
        <v>2800.0001069158316</v>
      </c>
      <c r="DS12" s="20">
        <f t="shared" si="12"/>
        <v>57320.999893084168</v>
      </c>
      <c r="DT12" s="23">
        <f t="shared" si="13"/>
        <v>0.9534272532573338</v>
      </c>
      <c r="DU12" s="20">
        <f t="shared" si="3"/>
        <v>4280863.0965737617</v>
      </c>
      <c r="DV12" s="20">
        <f t="shared" si="4"/>
        <v>609901.98878845572</v>
      </c>
      <c r="DW12" s="20">
        <f t="shared" si="5"/>
        <v>110891.27068881014</v>
      </c>
      <c r="DX12" s="20">
        <f t="shared" si="6"/>
        <v>10925</v>
      </c>
      <c r="DY12" s="20">
        <f t="shared" si="7"/>
        <v>0</v>
      </c>
      <c r="DZ12" s="20">
        <f t="shared" si="8"/>
        <v>0</v>
      </c>
      <c r="EA12" s="20">
        <f t="shared" si="9"/>
        <v>0</v>
      </c>
      <c r="EB12" s="20">
        <f t="shared" si="10"/>
        <v>55921.759999999995</v>
      </c>
      <c r="EC12" s="20">
        <f t="shared" si="14"/>
        <v>57320.999893084168</v>
      </c>
      <c r="ED12" s="20">
        <f t="shared" si="15"/>
        <v>0</v>
      </c>
      <c r="EE12" s="20">
        <f t="shared" si="15"/>
        <v>2800.0001069158316</v>
      </c>
      <c r="EF12" s="20">
        <f t="shared" si="16"/>
        <v>60121</v>
      </c>
      <c r="EG12" s="23">
        <f t="shared" si="17"/>
        <v>0.9534272532573338</v>
      </c>
      <c r="EH12" s="20">
        <f t="shared" si="18"/>
        <v>5128624.1160510276</v>
      </c>
    </row>
    <row r="13" spans="1:138" x14ac:dyDescent="0.25">
      <c r="A13" s="18">
        <v>213</v>
      </c>
      <c r="B13" t="s">
        <v>149</v>
      </c>
      <c r="C13" t="s">
        <v>150</v>
      </c>
      <c r="D13">
        <v>4</v>
      </c>
      <c r="E13">
        <v>663</v>
      </c>
      <c r="F13" s="19">
        <f t="shared" si="11"/>
        <v>0.49321266968325794</v>
      </c>
      <c r="G13">
        <v>327</v>
      </c>
      <c r="H13" s="20">
        <v>191050.75104188372</v>
      </c>
      <c r="I13" s="20">
        <v>110891.27068881014</v>
      </c>
      <c r="J13" s="20">
        <v>259955.07366831342</v>
      </c>
      <c r="K13" s="20">
        <v>110891.27068881014</v>
      </c>
      <c r="L13" s="20">
        <v>0</v>
      </c>
      <c r="M13" s="20">
        <v>89505.059196611037</v>
      </c>
      <c r="N13" s="20">
        <v>59866.796146808359</v>
      </c>
      <c r="O13" s="20">
        <v>76213.029593109444</v>
      </c>
      <c r="P13" s="20">
        <v>0</v>
      </c>
      <c r="Q13" s="20">
        <v>0</v>
      </c>
      <c r="R13" s="20"/>
      <c r="S13" s="20">
        <v>77625.750694703253</v>
      </c>
      <c r="T13" s="20">
        <v>60676.224767295193</v>
      </c>
      <c r="U13" s="20">
        <v>149148.95212478214</v>
      </c>
      <c r="V13" s="20">
        <v>110891.27068881014</v>
      </c>
      <c r="W13" s="20">
        <v>110891.27068881014</v>
      </c>
      <c r="X13" s="20">
        <v>110891.27068881014</v>
      </c>
      <c r="Y13" s="20">
        <v>110891.27068881014</v>
      </c>
      <c r="Z13" s="20">
        <v>277228.17672202532</v>
      </c>
      <c r="AA13" s="20"/>
      <c r="AB13" s="20">
        <v>221782.54137762028</v>
      </c>
      <c r="AC13" s="20">
        <v>66822.315389129435</v>
      </c>
      <c r="AD13" s="20">
        <v>110891.27068881014</v>
      </c>
      <c r="AE13" s="20">
        <v>33411.157694564718</v>
      </c>
      <c r="AF13" s="20">
        <v>332673.8120664304</v>
      </c>
      <c r="AG13" s="20">
        <v>100233.47308369415</v>
      </c>
      <c r="AH13" s="20">
        <v>443565.08275524055</v>
      </c>
      <c r="AI13" s="20">
        <v>133644.63077825887</v>
      </c>
      <c r="AJ13" s="20">
        <v>443565.08275524055</v>
      </c>
      <c r="AK13" s="20">
        <v>332673.8120664304</v>
      </c>
      <c r="AL13" s="20">
        <v>443565.08275524055</v>
      </c>
      <c r="AM13" s="20">
        <v>443565.08275524055</v>
      </c>
      <c r="AN13" s="20">
        <v>332673.8120664304</v>
      </c>
      <c r="AO13" s="20">
        <v>0</v>
      </c>
      <c r="AP13" s="20">
        <v>0</v>
      </c>
      <c r="AQ13" s="20">
        <v>421386.82861747849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/>
      <c r="AX13" s="20">
        <v>0</v>
      </c>
      <c r="AY13" s="20">
        <v>110891.27068881014</v>
      </c>
      <c r="AZ13" s="20">
        <v>332673.8120664304</v>
      </c>
      <c r="BA13" s="20">
        <v>1219803.9775769114</v>
      </c>
      <c r="BB13" s="20">
        <v>133644.63077825887</v>
      </c>
      <c r="BC13" s="20">
        <v>0</v>
      </c>
      <c r="BD13" s="20">
        <v>0</v>
      </c>
      <c r="BE13" s="20">
        <v>2772281.7672202536</v>
      </c>
      <c r="BF13" s="20">
        <v>33411.157694564718</v>
      </c>
      <c r="BG13" s="20">
        <v>554456.35344405065</v>
      </c>
      <c r="BH13" s="21">
        <f>57280-21480</f>
        <v>35800</v>
      </c>
      <c r="BI13" s="21">
        <f>57280-21480</f>
        <v>35800</v>
      </c>
      <c r="BJ13" s="20">
        <v>10740</v>
      </c>
      <c r="BK13" s="20">
        <v>0</v>
      </c>
      <c r="BL13" s="20"/>
      <c r="BM13" s="20">
        <v>42960</v>
      </c>
      <c r="BN13" s="20">
        <v>218802.8</v>
      </c>
      <c r="BO13" s="20">
        <v>3532.15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221782.54137762028</v>
      </c>
      <c r="CL13" s="20"/>
      <c r="CM13" s="20">
        <v>23000</v>
      </c>
      <c r="CN13" s="20">
        <v>5000</v>
      </c>
      <c r="CO13" s="20">
        <v>167765.28</v>
      </c>
      <c r="CP13" s="20">
        <v>100000</v>
      </c>
      <c r="CQ13" s="20">
        <v>0</v>
      </c>
      <c r="CR13" s="20">
        <v>0</v>
      </c>
      <c r="CS13" s="20">
        <v>6540</v>
      </c>
      <c r="CT13" s="20">
        <v>0</v>
      </c>
      <c r="CU13" s="20">
        <v>34314.686342376051</v>
      </c>
      <c r="CV13" s="20">
        <v>0</v>
      </c>
      <c r="CW13" s="20"/>
      <c r="CX13" s="20">
        <v>0</v>
      </c>
      <c r="CY13" s="20">
        <v>0</v>
      </c>
      <c r="CZ13" s="20">
        <v>0</v>
      </c>
      <c r="DA13" s="20">
        <v>0</v>
      </c>
      <c r="DB13" s="20">
        <v>66300</v>
      </c>
      <c r="DC13" s="20">
        <v>181060.87263394016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/>
      <c r="DJ13" s="20">
        <v>49399.999360740185</v>
      </c>
      <c r="DK13" s="22">
        <v>0</v>
      </c>
      <c r="DL13" s="20">
        <v>0</v>
      </c>
      <c r="DM13" s="20">
        <v>0</v>
      </c>
      <c r="DN13" s="20">
        <v>12127032.722122157</v>
      </c>
      <c r="DO13" s="20">
        <f t="shared" si="0"/>
        <v>6111078.5957053574</v>
      </c>
      <c r="DP13" s="21">
        <v>756138</v>
      </c>
      <c r="DQ13" s="20">
        <f t="shared" si="1"/>
        <v>82340</v>
      </c>
      <c r="DR13" s="20">
        <f t="shared" si="2"/>
        <v>55939.999360740185</v>
      </c>
      <c r="DS13" s="20">
        <f t="shared" si="12"/>
        <v>617858.00063925982</v>
      </c>
      <c r="DT13" s="23">
        <f t="shared" si="13"/>
        <v>0.81712333018478089</v>
      </c>
      <c r="DU13" s="20">
        <f t="shared" si="3"/>
        <v>5780671.5226528784</v>
      </c>
      <c r="DV13" s="20">
        <f t="shared" si="4"/>
        <v>1797013.691110411</v>
      </c>
      <c r="DW13" s="20">
        <f t="shared" si="5"/>
        <v>3360149.2783588688</v>
      </c>
      <c r="DX13" s="20">
        <f t="shared" si="6"/>
        <v>265294.95</v>
      </c>
      <c r="DY13" s="20">
        <f t="shared" si="7"/>
        <v>0</v>
      </c>
      <c r="DZ13" s="20">
        <f t="shared" si="8"/>
        <v>0</v>
      </c>
      <c r="EA13" s="20">
        <f t="shared" si="9"/>
        <v>0</v>
      </c>
      <c r="EB13" s="20">
        <f t="shared" si="10"/>
        <v>167765.28</v>
      </c>
      <c r="EC13" s="20">
        <f t="shared" si="14"/>
        <v>617858.00063925982</v>
      </c>
      <c r="ED13" s="20">
        <f t="shared" si="15"/>
        <v>82340</v>
      </c>
      <c r="EE13" s="20">
        <f t="shared" si="15"/>
        <v>55939.999360740185</v>
      </c>
      <c r="EF13" s="20">
        <f t="shared" si="16"/>
        <v>756138</v>
      </c>
      <c r="EG13" s="23">
        <f t="shared" si="17"/>
        <v>0.81712333018478089</v>
      </c>
      <c r="EH13" s="20">
        <f t="shared" si="18"/>
        <v>12127032.722122157</v>
      </c>
    </row>
    <row r="14" spans="1:138" x14ac:dyDescent="0.25">
      <c r="A14" s="18">
        <v>347</v>
      </c>
      <c r="B14" t="s">
        <v>151</v>
      </c>
      <c r="C14" t="s">
        <v>152</v>
      </c>
      <c r="D14">
        <v>5</v>
      </c>
      <c r="E14">
        <v>401</v>
      </c>
      <c r="F14" s="19">
        <f t="shared" si="11"/>
        <v>0.42892768079800497</v>
      </c>
      <c r="G14">
        <v>172</v>
      </c>
      <c r="H14" s="20">
        <v>191050.75104188372</v>
      </c>
      <c r="I14" s="20">
        <v>110891.27068881014</v>
      </c>
      <c r="J14" s="20">
        <v>198789.17398165143</v>
      </c>
      <c r="K14" s="20">
        <v>110891.27068881014</v>
      </c>
      <c r="L14" s="20">
        <v>0</v>
      </c>
      <c r="M14" s="20">
        <v>89505.059196611037</v>
      </c>
      <c r="N14" s="20">
        <v>59866.796146808359</v>
      </c>
      <c r="O14" s="20">
        <v>44831.193878299673</v>
      </c>
      <c r="P14" s="20">
        <v>0</v>
      </c>
      <c r="Q14" s="20">
        <v>0</v>
      </c>
      <c r="R14" s="20"/>
      <c r="S14" s="20">
        <v>77625.750694703253</v>
      </c>
      <c r="T14" s="20">
        <v>60676.224767295193</v>
      </c>
      <c r="U14" s="20">
        <v>149148.95212478214</v>
      </c>
      <c r="V14" s="20">
        <v>110891.27068881014</v>
      </c>
      <c r="W14" s="20">
        <v>0</v>
      </c>
      <c r="X14" s="20">
        <v>0</v>
      </c>
      <c r="Y14" s="20">
        <v>0</v>
      </c>
      <c r="Z14" s="20">
        <v>0</v>
      </c>
      <c r="AA14" s="20"/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676436.75120174175</v>
      </c>
      <c r="AP14" s="20">
        <v>720793.25947726588</v>
      </c>
      <c r="AQ14" s="20">
        <v>620991.11585733679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/>
      <c r="AX14" s="20">
        <v>0</v>
      </c>
      <c r="AY14" s="20">
        <v>110891.27068881014</v>
      </c>
      <c r="AZ14" s="20">
        <v>221782.54137762028</v>
      </c>
      <c r="BA14" s="20">
        <v>998021.43619929126</v>
      </c>
      <c r="BB14" s="20">
        <v>133644.63077825887</v>
      </c>
      <c r="BC14" s="20">
        <v>0</v>
      </c>
      <c r="BD14" s="20">
        <v>0</v>
      </c>
      <c r="BE14" s="20">
        <v>221782.54137762028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/>
      <c r="BM14" s="20">
        <v>0</v>
      </c>
      <c r="BN14" s="20">
        <v>153849.12</v>
      </c>
      <c r="BO14" s="20">
        <v>2545.2600000000002</v>
      </c>
      <c r="BP14" s="20">
        <v>0</v>
      </c>
      <c r="BQ14" s="20">
        <v>0</v>
      </c>
      <c r="BR14" s="20">
        <v>110891.27068881014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332673.8120664304</v>
      </c>
      <c r="CL14" s="20"/>
      <c r="CM14" s="20">
        <v>23000</v>
      </c>
      <c r="CN14" s="20">
        <v>5000</v>
      </c>
      <c r="CO14" s="20">
        <v>244045.91999999998</v>
      </c>
      <c r="CP14" s="20">
        <v>100000</v>
      </c>
      <c r="CQ14" s="20">
        <v>0</v>
      </c>
      <c r="CR14" s="20">
        <v>0</v>
      </c>
      <c r="CS14" s="20">
        <v>3440</v>
      </c>
      <c r="CT14" s="20">
        <v>0</v>
      </c>
      <c r="CU14" s="20">
        <v>31395.772003745318</v>
      </c>
      <c r="CV14" s="20">
        <v>0</v>
      </c>
      <c r="CW14" s="20"/>
      <c r="CX14" s="20">
        <v>0</v>
      </c>
      <c r="CY14" s="20">
        <v>0</v>
      </c>
      <c r="CZ14" s="20">
        <v>0</v>
      </c>
      <c r="DA14" s="20">
        <v>0</v>
      </c>
      <c r="DB14" s="20">
        <v>40100</v>
      </c>
      <c r="DC14" s="20">
        <v>87778.429132147561</v>
      </c>
      <c r="DD14" s="20">
        <v>0</v>
      </c>
      <c r="DE14" s="20">
        <v>200000</v>
      </c>
      <c r="DF14" s="20">
        <v>0</v>
      </c>
      <c r="DG14" s="20">
        <v>0</v>
      </c>
      <c r="DH14" s="20">
        <v>0</v>
      </c>
      <c r="DI14" s="20"/>
      <c r="DJ14" s="20">
        <v>39975.000058114529</v>
      </c>
      <c r="DK14" s="22">
        <v>0</v>
      </c>
      <c r="DL14" s="20">
        <v>0</v>
      </c>
      <c r="DM14" s="20">
        <v>0</v>
      </c>
      <c r="DN14" s="20">
        <v>6283205.8448056579</v>
      </c>
      <c r="DO14" s="20">
        <f t="shared" si="0"/>
        <v>3554885.9260503524</v>
      </c>
      <c r="DP14" s="21">
        <v>397724</v>
      </c>
      <c r="DQ14" s="20">
        <f t="shared" si="1"/>
        <v>0</v>
      </c>
      <c r="DR14" s="20">
        <f t="shared" si="2"/>
        <v>43415.000058114529</v>
      </c>
      <c r="DS14" s="20">
        <f t="shared" si="12"/>
        <v>354308.99994188547</v>
      </c>
      <c r="DT14" s="23">
        <f t="shared" si="13"/>
        <v>0.89084138734872798</v>
      </c>
      <c r="DU14" s="20">
        <f t="shared" si="3"/>
        <v>3598919.1243840568</v>
      </c>
      <c r="DV14" s="20">
        <f t="shared" si="4"/>
        <v>1464339.8790439805</v>
      </c>
      <c r="DW14" s="20">
        <f t="shared" si="5"/>
        <v>221782.54137762028</v>
      </c>
      <c r="DX14" s="20">
        <f t="shared" si="6"/>
        <v>156394.38</v>
      </c>
      <c r="DY14" s="20">
        <f t="shared" si="7"/>
        <v>200000</v>
      </c>
      <c r="DZ14" s="20">
        <f t="shared" si="8"/>
        <v>0</v>
      </c>
      <c r="EA14" s="20">
        <f t="shared" si="9"/>
        <v>0</v>
      </c>
      <c r="EB14" s="20">
        <f t="shared" si="10"/>
        <v>244045.91999999998</v>
      </c>
      <c r="EC14" s="20">
        <f t="shared" si="14"/>
        <v>354308.99994188547</v>
      </c>
      <c r="ED14" s="20">
        <f t="shared" si="15"/>
        <v>0</v>
      </c>
      <c r="EE14" s="20">
        <f t="shared" si="15"/>
        <v>43415.000058114529</v>
      </c>
      <c r="EF14" s="20">
        <f t="shared" si="16"/>
        <v>397724</v>
      </c>
      <c r="EG14" s="23">
        <f t="shared" si="17"/>
        <v>0.89084138734872798</v>
      </c>
      <c r="EH14" s="20">
        <f t="shared" si="18"/>
        <v>6283205.8448056569</v>
      </c>
    </row>
    <row r="15" spans="1:138" x14ac:dyDescent="0.25">
      <c r="A15" s="18">
        <v>404</v>
      </c>
      <c r="B15" t="s">
        <v>153</v>
      </c>
      <c r="C15" t="s">
        <v>150</v>
      </c>
      <c r="D15">
        <v>5</v>
      </c>
      <c r="E15">
        <v>475</v>
      </c>
      <c r="F15" s="19">
        <f t="shared" si="11"/>
        <v>0.64</v>
      </c>
      <c r="G15">
        <v>304</v>
      </c>
      <c r="H15" s="20">
        <v>191050.75104188372</v>
      </c>
      <c r="I15" s="20">
        <v>110891.27068881014</v>
      </c>
      <c r="J15" s="20">
        <v>198789.17398165143</v>
      </c>
      <c r="K15" s="20">
        <v>110891.27068881014</v>
      </c>
      <c r="L15" s="20">
        <v>0</v>
      </c>
      <c r="M15" s="20">
        <v>89505.059196611037</v>
      </c>
      <c r="N15" s="20">
        <v>59866.796146808359</v>
      </c>
      <c r="O15" s="20">
        <v>53797.432653959608</v>
      </c>
      <c r="P15" s="20">
        <v>0</v>
      </c>
      <c r="Q15" s="20">
        <v>0</v>
      </c>
      <c r="R15" s="20"/>
      <c r="S15" s="20">
        <v>77625.750694703253</v>
      </c>
      <c r="T15" s="20">
        <v>60676.224767295193</v>
      </c>
      <c r="U15" s="20">
        <v>348014.22162449162</v>
      </c>
      <c r="V15" s="20">
        <v>110891.27068881014</v>
      </c>
      <c r="W15" s="20">
        <v>110891.27068881014</v>
      </c>
      <c r="X15" s="20">
        <v>110891.27068881014</v>
      </c>
      <c r="Y15" s="20">
        <v>110891.27068881014</v>
      </c>
      <c r="Z15" s="20">
        <f>221782.54137762-AA15</f>
        <v>166336.90603321491</v>
      </c>
      <c r="AA15" s="20">
        <f>0.5*Y15</f>
        <v>55445.635344405069</v>
      </c>
      <c r="AB15" s="20">
        <v>221782.54137762028</v>
      </c>
      <c r="AC15" s="20">
        <v>66822.315389129435</v>
      </c>
      <c r="AD15" s="20">
        <v>0</v>
      </c>
      <c r="AE15" s="20">
        <v>0</v>
      </c>
      <c r="AF15" s="20">
        <v>221782.54137762028</v>
      </c>
      <c r="AG15" s="20">
        <v>66822.315389129435</v>
      </c>
      <c r="AH15" s="20">
        <v>332673.8120664304</v>
      </c>
      <c r="AI15" s="20">
        <v>100233.47308369415</v>
      </c>
      <c r="AJ15" s="20">
        <v>221782.54137762028</v>
      </c>
      <c r="AK15" s="20">
        <v>221782.54137762028</v>
      </c>
      <c r="AL15" s="20">
        <v>221782.54137762028</v>
      </c>
      <c r="AM15" s="20">
        <v>221782.54137762028</v>
      </c>
      <c r="AN15" s="20">
        <v>221782.54137762028</v>
      </c>
      <c r="AO15" s="20">
        <v>243960.79551538231</v>
      </c>
      <c r="AP15" s="20">
        <v>288317.30379090639</v>
      </c>
      <c r="AQ15" s="20">
        <v>166336.9060332152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/>
      <c r="AX15" s="20">
        <v>0</v>
      </c>
      <c r="AY15" s="20">
        <v>110891.27068881014</v>
      </c>
      <c r="AZ15" s="20">
        <v>221782.54137762028</v>
      </c>
      <c r="BA15" s="20">
        <v>1108912.7068881013</v>
      </c>
      <c r="BB15" s="20">
        <v>200466.94616738829</v>
      </c>
      <c r="BC15" s="20">
        <v>0</v>
      </c>
      <c r="BD15" s="20">
        <v>0</v>
      </c>
      <c r="BE15" s="20">
        <v>443565.08275524055</v>
      </c>
      <c r="BF15" s="20">
        <v>0</v>
      </c>
      <c r="BG15" s="20">
        <v>0</v>
      </c>
      <c r="BH15" s="21">
        <f>21480-7160</f>
        <v>14320</v>
      </c>
      <c r="BI15" s="21">
        <f>21480-7160</f>
        <v>14320</v>
      </c>
      <c r="BJ15" s="20">
        <v>10740</v>
      </c>
      <c r="BK15" s="20">
        <v>0</v>
      </c>
      <c r="BL15" s="20"/>
      <c r="BM15" s="20">
        <v>14320</v>
      </c>
      <c r="BN15" s="20">
        <v>184533.71</v>
      </c>
      <c r="BO15" s="20">
        <v>3052.9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221782.54137762028</v>
      </c>
      <c r="CL15" s="20"/>
      <c r="CM15" s="20">
        <v>23000</v>
      </c>
      <c r="CN15" s="20">
        <v>5000</v>
      </c>
      <c r="CO15" s="20">
        <v>167765.28</v>
      </c>
      <c r="CP15" s="20">
        <v>100000</v>
      </c>
      <c r="CQ15" s="20">
        <v>0</v>
      </c>
      <c r="CR15" s="20">
        <v>0</v>
      </c>
      <c r="CS15" s="20">
        <v>6080</v>
      </c>
      <c r="CT15" s="20">
        <v>139320</v>
      </c>
      <c r="CU15" s="20">
        <v>33595.159178743961</v>
      </c>
      <c r="CV15" s="20">
        <v>0</v>
      </c>
      <c r="CW15" s="20"/>
      <c r="CX15" s="20">
        <v>0</v>
      </c>
      <c r="CY15" s="20">
        <v>0</v>
      </c>
      <c r="CZ15" s="20">
        <v>0</v>
      </c>
      <c r="DA15" s="20">
        <v>0</v>
      </c>
      <c r="DB15" s="20">
        <v>47500</v>
      </c>
      <c r="DC15" s="20">
        <v>118026.2241501207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/>
      <c r="DJ15" s="20">
        <v>38625.000156462193</v>
      </c>
      <c r="DK15" s="22">
        <v>0</v>
      </c>
      <c r="DL15" s="20">
        <v>0</v>
      </c>
      <c r="DM15" s="20">
        <v>0</v>
      </c>
      <c r="DN15" s="20">
        <v>8011699.6492692223</v>
      </c>
      <c r="DO15" s="20">
        <f t="shared" si="0"/>
        <v>4791242.3788047032</v>
      </c>
      <c r="DP15" s="21">
        <v>702954</v>
      </c>
      <c r="DQ15" s="20">
        <f t="shared" si="1"/>
        <v>39380</v>
      </c>
      <c r="DR15" s="20">
        <f t="shared" si="2"/>
        <v>239470.63550086727</v>
      </c>
      <c r="DS15" s="20">
        <f t="shared" si="12"/>
        <v>424103.36449913273</v>
      </c>
      <c r="DT15" s="23">
        <f t="shared" si="13"/>
        <v>0.6033159559503648</v>
      </c>
      <c r="DU15" s="20">
        <f t="shared" si="3"/>
        <v>4853455.2113920599</v>
      </c>
      <c r="DV15" s="20">
        <f t="shared" si="4"/>
        <v>1642053.46512192</v>
      </c>
      <c r="DW15" s="20">
        <f t="shared" si="5"/>
        <v>443565.08275524055</v>
      </c>
      <c r="DX15" s="20">
        <f t="shared" si="6"/>
        <v>201906.61</v>
      </c>
      <c r="DY15" s="20">
        <f t="shared" si="7"/>
        <v>0</v>
      </c>
      <c r="DZ15" s="20">
        <f t="shared" si="8"/>
        <v>0</v>
      </c>
      <c r="EA15" s="20">
        <f t="shared" si="9"/>
        <v>0</v>
      </c>
      <c r="EB15" s="20">
        <f t="shared" si="10"/>
        <v>167765.28</v>
      </c>
      <c r="EC15" s="20">
        <f t="shared" si="14"/>
        <v>424103.36449913273</v>
      </c>
      <c r="ED15" s="20">
        <f t="shared" si="15"/>
        <v>39380</v>
      </c>
      <c r="EE15" s="20">
        <f t="shared" si="15"/>
        <v>239470.63550086727</v>
      </c>
      <c r="EF15" s="20">
        <f t="shared" si="16"/>
        <v>702954</v>
      </c>
      <c r="EG15" s="23">
        <f t="shared" si="17"/>
        <v>0.6033159559503648</v>
      </c>
      <c r="EH15" s="20">
        <f t="shared" si="18"/>
        <v>8011699.6492692214</v>
      </c>
    </row>
    <row r="16" spans="1:138" x14ac:dyDescent="0.25">
      <c r="A16" s="18">
        <v>296</v>
      </c>
      <c r="B16" t="s">
        <v>154</v>
      </c>
      <c r="C16" t="s">
        <v>135</v>
      </c>
      <c r="D16">
        <v>1</v>
      </c>
      <c r="E16">
        <v>467</v>
      </c>
      <c r="F16" s="19">
        <f t="shared" si="11"/>
        <v>0.45824411134903642</v>
      </c>
      <c r="G16">
        <v>214</v>
      </c>
      <c r="H16" s="20">
        <v>191050.75104188372</v>
      </c>
      <c r="I16" s="20">
        <v>110891.27068881014</v>
      </c>
      <c r="J16" s="20">
        <v>183497.69905998593</v>
      </c>
      <c r="K16" s="20">
        <v>0</v>
      </c>
      <c r="L16" s="20">
        <v>0</v>
      </c>
      <c r="M16" s="20">
        <v>89505.059196611037</v>
      </c>
      <c r="N16" s="20">
        <v>59866.796146808359</v>
      </c>
      <c r="O16" s="20">
        <v>53797.432653959608</v>
      </c>
      <c r="P16" s="20">
        <v>0</v>
      </c>
      <c r="Q16" s="20">
        <v>0</v>
      </c>
      <c r="R16" s="20"/>
      <c r="S16" s="20">
        <v>77625.750694703253</v>
      </c>
      <c r="T16" s="20">
        <v>60676.224767295193</v>
      </c>
      <c r="U16" s="20">
        <v>149148.95212478214</v>
      </c>
      <c r="V16" s="20">
        <v>110891.27068881014</v>
      </c>
      <c r="W16" s="20">
        <v>110891.27068881014</v>
      </c>
      <c r="X16" s="20">
        <v>110891.27068881014</v>
      </c>
      <c r="Y16" s="20">
        <v>110891.27068881014</v>
      </c>
      <c r="Z16" s="20">
        <v>166336.9060332152</v>
      </c>
      <c r="AA16" s="20"/>
      <c r="AB16" s="20">
        <v>0</v>
      </c>
      <c r="AC16" s="20">
        <v>0</v>
      </c>
      <c r="AD16" s="20">
        <v>665347.6241328608</v>
      </c>
      <c r="AE16" s="20">
        <v>200466.94616738829</v>
      </c>
      <c r="AF16" s="20">
        <v>0</v>
      </c>
      <c r="AG16" s="20">
        <v>0</v>
      </c>
      <c r="AH16" s="20">
        <v>332673.8120664304</v>
      </c>
      <c r="AI16" s="20">
        <v>100233.47308369415</v>
      </c>
      <c r="AJ16" s="20">
        <v>332673.8120664304</v>
      </c>
      <c r="AK16" s="20">
        <v>332673.8120664304</v>
      </c>
      <c r="AL16" s="20">
        <v>332673.8120664304</v>
      </c>
      <c r="AM16" s="20">
        <v>332673.8120664304</v>
      </c>
      <c r="AN16" s="20">
        <v>332673.8120664304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/>
      <c r="AX16" s="20">
        <v>0</v>
      </c>
      <c r="AY16" s="20">
        <v>110891.27068881014</v>
      </c>
      <c r="AZ16" s="20">
        <v>221782.54137762028</v>
      </c>
      <c r="BA16" s="20">
        <v>443565.08275524055</v>
      </c>
      <c r="BB16" s="20">
        <v>0</v>
      </c>
      <c r="BC16" s="20">
        <v>0</v>
      </c>
      <c r="BD16" s="20">
        <v>0</v>
      </c>
      <c r="BE16" s="20">
        <v>1552477.7896433419</v>
      </c>
      <c r="BF16" s="20">
        <v>33411.157694564718</v>
      </c>
      <c r="BG16" s="20">
        <v>332673.8120664304</v>
      </c>
      <c r="BH16" s="20">
        <v>0</v>
      </c>
      <c r="BI16" s="20">
        <v>0</v>
      </c>
      <c r="BJ16" s="20">
        <v>0</v>
      </c>
      <c r="BK16" s="20">
        <v>0</v>
      </c>
      <c r="BL16" s="20"/>
      <c r="BM16" s="20">
        <v>0</v>
      </c>
      <c r="BN16" s="20">
        <v>201580.7</v>
      </c>
      <c r="BO16" s="20">
        <v>3334.93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/>
      <c r="CM16" s="20">
        <v>0</v>
      </c>
      <c r="CN16" s="20">
        <v>0</v>
      </c>
      <c r="CO16" s="20">
        <v>55921.759999999995</v>
      </c>
      <c r="CP16" s="20">
        <v>0</v>
      </c>
      <c r="CQ16" s="20">
        <v>0</v>
      </c>
      <c r="CR16" s="20">
        <v>0</v>
      </c>
      <c r="CS16" s="20">
        <v>4280</v>
      </c>
      <c r="CT16" s="20">
        <v>50400</v>
      </c>
      <c r="CU16" s="20">
        <v>27140.515763546799</v>
      </c>
      <c r="CV16" s="20">
        <v>0</v>
      </c>
      <c r="CW16" s="20"/>
      <c r="CX16" s="20">
        <v>0</v>
      </c>
      <c r="CY16" s="20">
        <v>0</v>
      </c>
      <c r="CZ16" s="20">
        <v>0</v>
      </c>
      <c r="DA16" s="20">
        <v>0</v>
      </c>
      <c r="DB16" s="20">
        <v>46700</v>
      </c>
      <c r="DC16" s="20">
        <v>117421.39737226645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/>
      <c r="DJ16" s="20">
        <v>14025.00018030405</v>
      </c>
      <c r="DK16" s="22">
        <v>0</v>
      </c>
      <c r="DL16" s="20">
        <v>0</v>
      </c>
      <c r="DM16" s="20">
        <v>0</v>
      </c>
      <c r="DN16" s="20">
        <v>7763658.7984879464</v>
      </c>
      <c r="DO16" s="20">
        <f t="shared" si="0"/>
        <v>4451863.8264948521</v>
      </c>
      <c r="DP16" s="21">
        <v>494842</v>
      </c>
      <c r="DQ16" s="20">
        <f t="shared" si="1"/>
        <v>0</v>
      </c>
      <c r="DR16" s="20">
        <f t="shared" si="2"/>
        <v>68705.00018030405</v>
      </c>
      <c r="DS16" s="20">
        <f t="shared" si="12"/>
        <v>426136.99981969595</v>
      </c>
      <c r="DT16" s="23">
        <f t="shared" si="13"/>
        <v>0.86115770249836499</v>
      </c>
      <c r="DU16" s="20">
        <f t="shared" si="3"/>
        <v>4313177.754261937</v>
      </c>
      <c r="DV16" s="20">
        <f t="shared" si="4"/>
        <v>776238.89482167095</v>
      </c>
      <c r="DW16" s="20">
        <f t="shared" si="5"/>
        <v>1918562.759404337</v>
      </c>
      <c r="DX16" s="20">
        <f t="shared" si="6"/>
        <v>204915.63</v>
      </c>
      <c r="DY16" s="20">
        <f t="shared" si="7"/>
        <v>0</v>
      </c>
      <c r="DZ16" s="20">
        <f t="shared" si="8"/>
        <v>0</v>
      </c>
      <c r="EA16" s="20">
        <f t="shared" si="9"/>
        <v>0</v>
      </c>
      <c r="EB16" s="20">
        <f t="shared" si="10"/>
        <v>55921.759999999995</v>
      </c>
      <c r="EC16" s="20">
        <f t="shared" si="14"/>
        <v>426136.99981969595</v>
      </c>
      <c r="ED16" s="20">
        <f t="shared" si="15"/>
        <v>0</v>
      </c>
      <c r="EE16" s="20">
        <f t="shared" si="15"/>
        <v>68705.00018030405</v>
      </c>
      <c r="EF16" s="20">
        <f t="shared" si="16"/>
        <v>494842</v>
      </c>
      <c r="EG16" s="23">
        <f t="shared" si="17"/>
        <v>0.86115770249836499</v>
      </c>
      <c r="EH16" s="20">
        <f t="shared" si="18"/>
        <v>7763658.7984879445</v>
      </c>
    </row>
    <row r="17" spans="1:138" x14ac:dyDescent="0.25">
      <c r="A17" s="18">
        <v>219</v>
      </c>
      <c r="B17" t="s">
        <v>155</v>
      </c>
      <c r="C17" t="s">
        <v>135</v>
      </c>
      <c r="D17">
        <v>5</v>
      </c>
      <c r="E17">
        <v>247</v>
      </c>
      <c r="F17" s="19">
        <f t="shared" si="11"/>
        <v>0.50202429149797567</v>
      </c>
      <c r="G17">
        <v>124</v>
      </c>
      <c r="H17" s="20">
        <v>191050.75104188372</v>
      </c>
      <c r="I17" s="20">
        <v>110891.27068881014</v>
      </c>
      <c r="J17" s="20">
        <v>0</v>
      </c>
      <c r="K17" s="20">
        <v>0</v>
      </c>
      <c r="L17" s="20">
        <v>0</v>
      </c>
      <c r="M17" s="20">
        <v>44752.529598305518</v>
      </c>
      <c r="N17" s="20">
        <v>59866.796146808359</v>
      </c>
      <c r="O17" s="20">
        <v>0</v>
      </c>
      <c r="P17" s="20">
        <v>0</v>
      </c>
      <c r="Q17" s="20">
        <v>0</v>
      </c>
      <c r="R17" s="20"/>
      <c r="S17" s="20">
        <v>77625.750694703253</v>
      </c>
      <c r="T17" s="20">
        <v>60676.224767295193</v>
      </c>
      <c r="U17" s="20">
        <v>49716.317374927377</v>
      </c>
      <c r="V17" s="20">
        <v>55445.635344405069</v>
      </c>
      <c r="W17" s="20">
        <v>110891.27068881014</v>
      </c>
      <c r="X17" s="20">
        <v>110891.27068881014</v>
      </c>
      <c r="Y17" s="20">
        <v>110891.27068881014</v>
      </c>
      <c r="Z17" s="20">
        <v>0</v>
      </c>
      <c r="AA17" s="20"/>
      <c r="AB17" s="20">
        <v>221782.54137762028</v>
      </c>
      <c r="AC17" s="20">
        <v>66822.315389129435</v>
      </c>
      <c r="AD17" s="20">
        <v>110891.27068881014</v>
      </c>
      <c r="AE17" s="20">
        <v>33411.157694564718</v>
      </c>
      <c r="AF17" s="20">
        <v>221782.54137762028</v>
      </c>
      <c r="AG17" s="20">
        <v>66822.315389129435</v>
      </c>
      <c r="AH17" s="20">
        <v>110891.27068881014</v>
      </c>
      <c r="AI17" s="20">
        <v>33411.157694564718</v>
      </c>
      <c r="AJ17" s="20">
        <v>221782.54137762028</v>
      </c>
      <c r="AK17" s="20">
        <v>221782.54137762028</v>
      </c>
      <c r="AL17" s="20">
        <v>221782.54137762028</v>
      </c>
      <c r="AM17" s="20">
        <v>110891.27068881014</v>
      </c>
      <c r="AN17" s="20">
        <v>110891.27068881014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/>
      <c r="AX17" s="20">
        <v>0</v>
      </c>
      <c r="AY17" s="20">
        <v>55445.635344405069</v>
      </c>
      <c r="AZ17" s="20">
        <v>110891.27068881014</v>
      </c>
      <c r="BA17" s="20">
        <v>665347.6241328608</v>
      </c>
      <c r="BB17" s="20">
        <v>200466.94616738829</v>
      </c>
      <c r="BC17" s="20">
        <v>0</v>
      </c>
      <c r="BD17" s="20">
        <v>0</v>
      </c>
      <c r="BE17" s="20">
        <v>221782.54137762028</v>
      </c>
      <c r="BF17" s="20">
        <v>0</v>
      </c>
      <c r="BG17" s="20">
        <v>0</v>
      </c>
      <c r="BH17" s="21">
        <f>21480-7160</f>
        <v>14320</v>
      </c>
      <c r="BI17" s="21">
        <f>21480-7160</f>
        <v>14320</v>
      </c>
      <c r="BJ17" s="20">
        <v>10740</v>
      </c>
      <c r="BK17" s="20">
        <v>0</v>
      </c>
      <c r="BL17" s="20"/>
      <c r="BM17" s="20">
        <v>14320</v>
      </c>
      <c r="BN17" s="20">
        <v>98020.21</v>
      </c>
      <c r="BO17" s="20">
        <v>1621.64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/>
      <c r="CM17" s="20">
        <v>0</v>
      </c>
      <c r="CN17" s="20">
        <v>0</v>
      </c>
      <c r="CO17" s="20">
        <v>55921.759999999995</v>
      </c>
      <c r="CP17" s="20">
        <v>0</v>
      </c>
      <c r="CQ17" s="20">
        <v>0</v>
      </c>
      <c r="CR17" s="20">
        <v>0</v>
      </c>
      <c r="CS17" s="20">
        <v>2480</v>
      </c>
      <c r="CT17" s="20">
        <v>0</v>
      </c>
      <c r="CU17" s="20">
        <v>14120.628509532064</v>
      </c>
      <c r="CV17" s="20">
        <v>0</v>
      </c>
      <c r="CW17" s="20"/>
      <c r="CX17" s="20">
        <v>0</v>
      </c>
      <c r="CY17" s="20">
        <v>0</v>
      </c>
      <c r="CZ17" s="20">
        <v>0</v>
      </c>
      <c r="DA17" s="20">
        <v>0</v>
      </c>
      <c r="DB17" s="20">
        <v>24700</v>
      </c>
      <c r="DC17" s="20">
        <v>64232.203244050688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/>
      <c r="DJ17" s="20">
        <v>10449.999791011214</v>
      </c>
      <c r="DK17" s="22">
        <v>0</v>
      </c>
      <c r="DL17" s="20">
        <v>0</v>
      </c>
      <c r="DM17" s="20">
        <v>0</v>
      </c>
      <c r="DN17" s="20">
        <v>4314824.2827899782</v>
      </c>
      <c r="DO17" s="20">
        <f t="shared" si="0"/>
        <v>2650678.3624509554</v>
      </c>
      <c r="DP17" s="21">
        <v>286731</v>
      </c>
      <c r="DQ17" s="20">
        <f t="shared" si="1"/>
        <v>39380</v>
      </c>
      <c r="DR17" s="20">
        <f t="shared" si="2"/>
        <v>12929.999791011214</v>
      </c>
      <c r="DS17" s="20">
        <f t="shared" si="12"/>
        <v>234421.00020898879</v>
      </c>
      <c r="DT17" s="23">
        <f t="shared" si="13"/>
        <v>0.81756419853098827</v>
      </c>
      <c r="DU17" s="20">
        <f t="shared" si="3"/>
        <v>2604275.6550788926</v>
      </c>
      <c r="DV17" s="20">
        <f t="shared" si="4"/>
        <v>1032151.4763334643</v>
      </c>
      <c r="DW17" s="20">
        <f t="shared" si="5"/>
        <v>221782.54137762028</v>
      </c>
      <c r="DX17" s="20">
        <f t="shared" si="6"/>
        <v>113961.85</v>
      </c>
      <c r="DY17" s="20">
        <f t="shared" si="7"/>
        <v>0</v>
      </c>
      <c r="DZ17" s="20">
        <f t="shared" si="8"/>
        <v>0</v>
      </c>
      <c r="EA17" s="20">
        <f t="shared" si="9"/>
        <v>0</v>
      </c>
      <c r="EB17" s="20">
        <f t="shared" si="10"/>
        <v>55921.759999999995</v>
      </c>
      <c r="EC17" s="20">
        <f t="shared" si="14"/>
        <v>234421.00020898879</v>
      </c>
      <c r="ED17" s="20">
        <f t="shared" si="15"/>
        <v>39380</v>
      </c>
      <c r="EE17" s="20">
        <f t="shared" si="15"/>
        <v>12929.999791011214</v>
      </c>
      <c r="EF17" s="20">
        <f t="shared" si="16"/>
        <v>286731</v>
      </c>
      <c r="EG17" s="23">
        <f t="shared" si="17"/>
        <v>0.81756419853098827</v>
      </c>
      <c r="EH17" s="20">
        <f t="shared" si="18"/>
        <v>4314824.2827899773</v>
      </c>
    </row>
    <row r="18" spans="1:138" x14ac:dyDescent="0.25">
      <c r="A18" s="18">
        <v>220</v>
      </c>
      <c r="B18" t="s">
        <v>156</v>
      </c>
      <c r="C18" t="s">
        <v>135</v>
      </c>
      <c r="D18">
        <v>5</v>
      </c>
      <c r="E18">
        <v>284</v>
      </c>
      <c r="F18" s="19">
        <f t="shared" si="11"/>
        <v>0.43661971830985913</v>
      </c>
      <c r="G18">
        <v>124</v>
      </c>
      <c r="H18" s="20">
        <v>191050.75104188372</v>
      </c>
      <c r="I18" s="20">
        <v>110891.27068881014</v>
      </c>
      <c r="J18" s="20">
        <v>0</v>
      </c>
      <c r="K18" s="20">
        <v>0</v>
      </c>
      <c r="L18" s="20">
        <v>0</v>
      </c>
      <c r="M18" s="20">
        <v>44752.529598305518</v>
      </c>
      <c r="N18" s="20">
        <v>59866.796146808359</v>
      </c>
      <c r="O18" s="20">
        <v>0</v>
      </c>
      <c r="P18" s="20">
        <v>0</v>
      </c>
      <c r="Q18" s="20">
        <v>0</v>
      </c>
      <c r="R18" s="20"/>
      <c r="S18" s="20">
        <v>77625.750694703253</v>
      </c>
      <c r="T18" s="20">
        <v>60676.224767295193</v>
      </c>
      <c r="U18" s="20">
        <v>49716.317374927377</v>
      </c>
      <c r="V18" s="20">
        <v>55445.635344405069</v>
      </c>
      <c r="W18" s="20">
        <v>110891.27068881014</v>
      </c>
      <c r="X18" s="20">
        <v>110891.27068881014</v>
      </c>
      <c r="Y18" s="20">
        <v>110891.27068881014</v>
      </c>
      <c r="Z18" s="20">
        <v>0</v>
      </c>
      <c r="AA18" s="20"/>
      <c r="AB18" s="20">
        <v>221782.54137762028</v>
      </c>
      <c r="AC18" s="20">
        <v>66822.315389129435</v>
      </c>
      <c r="AD18" s="20">
        <v>110891.27068881014</v>
      </c>
      <c r="AE18" s="20">
        <v>66822.315389129435</v>
      </c>
      <c r="AF18" s="20">
        <v>221782.54137762028</v>
      </c>
      <c r="AG18" s="20">
        <v>66822.315389129435</v>
      </c>
      <c r="AH18" s="20">
        <v>221782.54137762028</v>
      </c>
      <c r="AI18" s="20">
        <v>66822.315389129435</v>
      </c>
      <c r="AJ18" s="20">
        <v>221782.54137762028</v>
      </c>
      <c r="AK18" s="20">
        <v>221782.54137762028</v>
      </c>
      <c r="AL18" s="20">
        <v>221782.54137762028</v>
      </c>
      <c r="AM18" s="20">
        <v>221782.54137762028</v>
      </c>
      <c r="AN18" s="20">
        <v>221782.54137762028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/>
      <c r="AX18" s="20">
        <v>0</v>
      </c>
      <c r="AY18" s="20">
        <v>110891.27068881014</v>
      </c>
      <c r="AZ18" s="20">
        <v>110891.27068881014</v>
      </c>
      <c r="BA18" s="20">
        <v>776238.89482167095</v>
      </c>
      <c r="BB18" s="20">
        <v>200466.94616738829</v>
      </c>
      <c r="BC18" s="20">
        <v>0</v>
      </c>
      <c r="BD18" s="20">
        <v>0</v>
      </c>
      <c r="BE18" s="20">
        <v>166336.9060332152</v>
      </c>
      <c r="BF18" s="20">
        <v>0</v>
      </c>
      <c r="BG18" s="20">
        <v>0</v>
      </c>
      <c r="BH18" s="21">
        <f>42960-14320</f>
        <v>28640</v>
      </c>
      <c r="BI18" s="21">
        <f>42960-14320</f>
        <v>28640</v>
      </c>
      <c r="BJ18" s="20">
        <v>10740</v>
      </c>
      <c r="BK18" s="20">
        <v>0</v>
      </c>
      <c r="BL18" s="20"/>
      <c r="BM18" s="20">
        <v>28640</v>
      </c>
      <c r="BN18" s="20">
        <v>121459.83</v>
      </c>
      <c r="BO18" s="20">
        <v>2009.42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/>
      <c r="CM18" s="20">
        <v>0</v>
      </c>
      <c r="CN18" s="20">
        <v>0</v>
      </c>
      <c r="CO18" s="20">
        <v>55921.759999999995</v>
      </c>
      <c r="CP18" s="20">
        <v>0</v>
      </c>
      <c r="CQ18" s="20">
        <v>0</v>
      </c>
      <c r="CR18" s="20">
        <v>0</v>
      </c>
      <c r="CS18" s="20">
        <v>2480</v>
      </c>
      <c r="CT18" s="20">
        <v>0</v>
      </c>
      <c r="CU18" s="20">
        <v>16264.332444444444</v>
      </c>
      <c r="CV18" s="20">
        <v>0</v>
      </c>
      <c r="CW18" s="20"/>
      <c r="CX18" s="20">
        <v>0</v>
      </c>
      <c r="CY18" s="20">
        <v>0</v>
      </c>
      <c r="CZ18" s="20">
        <v>0</v>
      </c>
      <c r="DA18" s="20">
        <v>0</v>
      </c>
      <c r="DB18" s="20">
        <v>28400</v>
      </c>
      <c r="DC18" s="20">
        <v>72449.440354175036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/>
      <c r="DJ18" s="20">
        <v>8549.9998223036528</v>
      </c>
      <c r="DK18" s="22">
        <v>0</v>
      </c>
      <c r="DL18" s="20">
        <v>0</v>
      </c>
      <c r="DM18" s="20">
        <v>0</v>
      </c>
      <c r="DN18" s="20">
        <v>4904160.0220106766</v>
      </c>
      <c r="DO18" s="20">
        <f t="shared" si="0"/>
        <v>3064235.4309515525</v>
      </c>
      <c r="DP18" s="21">
        <v>286731</v>
      </c>
      <c r="DQ18" s="20">
        <f t="shared" si="1"/>
        <v>68020</v>
      </c>
      <c r="DR18" s="20">
        <f t="shared" si="2"/>
        <v>11029.999822303653</v>
      </c>
      <c r="DS18" s="20">
        <f t="shared" si="12"/>
        <v>207681.00017769635</v>
      </c>
      <c r="DT18" s="23">
        <f t="shared" si="13"/>
        <v>0.72430605751626553</v>
      </c>
      <c r="DU18" s="20">
        <f t="shared" si="3"/>
        <v>3044572.7236107816</v>
      </c>
      <c r="DV18" s="20">
        <f t="shared" si="4"/>
        <v>1198488.3823666796</v>
      </c>
      <c r="DW18" s="20">
        <f t="shared" si="5"/>
        <v>166336.9060332152</v>
      </c>
      <c r="DX18" s="20">
        <f t="shared" si="6"/>
        <v>152109.25000000003</v>
      </c>
      <c r="DY18" s="20">
        <f t="shared" si="7"/>
        <v>0</v>
      </c>
      <c r="DZ18" s="20">
        <f t="shared" si="8"/>
        <v>0</v>
      </c>
      <c r="EA18" s="20">
        <f t="shared" si="9"/>
        <v>0</v>
      </c>
      <c r="EB18" s="20">
        <f t="shared" si="10"/>
        <v>55921.759999999995</v>
      </c>
      <c r="EC18" s="20">
        <f t="shared" si="14"/>
        <v>207681.00017769635</v>
      </c>
      <c r="ED18" s="20">
        <f t="shared" si="15"/>
        <v>68020</v>
      </c>
      <c r="EE18" s="20">
        <f t="shared" si="15"/>
        <v>11029.999822303653</v>
      </c>
      <c r="EF18" s="20">
        <f t="shared" si="16"/>
        <v>286731</v>
      </c>
      <c r="EG18" s="23">
        <f t="shared" si="17"/>
        <v>0.72430605751626553</v>
      </c>
      <c r="EH18" s="20">
        <f t="shared" si="18"/>
        <v>4904160.0220106756</v>
      </c>
    </row>
    <row r="19" spans="1:138" x14ac:dyDescent="0.25">
      <c r="A19" s="18">
        <v>221</v>
      </c>
      <c r="B19" t="s">
        <v>157</v>
      </c>
      <c r="C19" t="s">
        <v>135</v>
      </c>
      <c r="D19">
        <v>7</v>
      </c>
      <c r="E19">
        <v>313</v>
      </c>
      <c r="F19" s="19">
        <f t="shared" si="11"/>
        <v>0.6485623003194888</v>
      </c>
      <c r="G19">
        <v>203</v>
      </c>
      <c r="H19" s="20">
        <v>191050.75104188372</v>
      </c>
      <c r="I19" s="20">
        <v>110891.27068881014</v>
      </c>
      <c r="J19" s="20">
        <v>122331.79937332397</v>
      </c>
      <c r="K19" s="20">
        <v>0</v>
      </c>
      <c r="L19" s="20">
        <v>0</v>
      </c>
      <c r="M19" s="20">
        <v>89505.059196611037</v>
      </c>
      <c r="N19" s="20">
        <v>59866.796146808359</v>
      </c>
      <c r="O19" s="20">
        <v>0</v>
      </c>
      <c r="P19" s="20">
        <v>0</v>
      </c>
      <c r="Q19" s="20">
        <v>0</v>
      </c>
      <c r="R19" s="20"/>
      <c r="S19" s="20">
        <v>77625.750694703253</v>
      </c>
      <c r="T19" s="20">
        <v>60676.224767295193</v>
      </c>
      <c r="U19" s="20">
        <v>99432.634749854755</v>
      </c>
      <c r="V19" s="20">
        <v>110891.27068881014</v>
      </c>
      <c r="W19" s="20">
        <v>110891.27068881014</v>
      </c>
      <c r="X19" s="20">
        <v>110891.27068881014</v>
      </c>
      <c r="Y19" s="20">
        <v>110891.27068881014</v>
      </c>
      <c r="Z19" s="20">
        <v>0</v>
      </c>
      <c r="AA19" s="20"/>
      <c r="AB19" s="20">
        <v>221782.54137762028</v>
      </c>
      <c r="AC19" s="20">
        <v>66822.315389129435</v>
      </c>
      <c r="AD19" s="20">
        <v>110891.27068881014</v>
      </c>
      <c r="AE19" s="20">
        <v>33411.157694564718</v>
      </c>
      <c r="AF19" s="20">
        <v>332673.8120664304</v>
      </c>
      <c r="AG19" s="20">
        <v>100233.47308369415</v>
      </c>
      <c r="AH19" s="20">
        <v>221782.54137762028</v>
      </c>
      <c r="AI19" s="20">
        <v>66822.315389129435</v>
      </c>
      <c r="AJ19" s="20">
        <v>221782.54137762028</v>
      </c>
      <c r="AK19" s="20">
        <v>221782.54137762028</v>
      </c>
      <c r="AL19" s="20">
        <v>221782.54137762028</v>
      </c>
      <c r="AM19" s="20">
        <v>221782.54137762028</v>
      </c>
      <c r="AN19" s="20">
        <v>110891.27068881014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/>
      <c r="AX19" s="20">
        <v>0</v>
      </c>
      <c r="AY19" s="20">
        <v>110891.27068881014</v>
      </c>
      <c r="AZ19" s="20">
        <v>110891.27068881014</v>
      </c>
      <c r="BA19" s="20">
        <v>332673.8120664304</v>
      </c>
      <c r="BB19" s="20">
        <v>0</v>
      </c>
      <c r="BC19" s="20">
        <v>0</v>
      </c>
      <c r="BD19" s="20">
        <v>0</v>
      </c>
      <c r="BE19" s="20">
        <v>10081.024608073649</v>
      </c>
      <c r="BF19" s="20">
        <v>0</v>
      </c>
      <c r="BG19" s="20">
        <v>0</v>
      </c>
      <c r="BH19" s="21">
        <f>28640-7160</f>
        <v>21480</v>
      </c>
      <c r="BI19" s="21">
        <f>28640-7160</f>
        <v>21480</v>
      </c>
      <c r="BJ19" s="20">
        <v>10740</v>
      </c>
      <c r="BK19" s="20">
        <v>0</v>
      </c>
      <c r="BL19" s="20"/>
      <c r="BM19" s="20">
        <v>14320</v>
      </c>
      <c r="BN19" s="20">
        <v>132540.38</v>
      </c>
      <c r="BO19" s="20">
        <v>2192.73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/>
      <c r="CM19" s="20">
        <v>0</v>
      </c>
      <c r="CN19" s="20">
        <v>0</v>
      </c>
      <c r="CO19" s="20">
        <v>111843.51999999999</v>
      </c>
      <c r="CP19" s="20">
        <v>0</v>
      </c>
      <c r="CQ19" s="20">
        <v>0</v>
      </c>
      <c r="CR19" s="20">
        <v>0</v>
      </c>
      <c r="CS19" s="20">
        <v>4060</v>
      </c>
      <c r="CT19" s="20">
        <v>0</v>
      </c>
      <c r="CU19" s="20">
        <v>18935.997749999999</v>
      </c>
      <c r="CV19" s="20">
        <v>0</v>
      </c>
      <c r="CW19" s="20"/>
      <c r="CX19" s="20">
        <v>0</v>
      </c>
      <c r="CY19" s="20">
        <v>0</v>
      </c>
      <c r="CZ19" s="20">
        <v>0</v>
      </c>
      <c r="DA19" s="20">
        <v>0</v>
      </c>
      <c r="DB19" s="20">
        <v>31300</v>
      </c>
      <c r="DC19" s="20">
        <v>63947.970132800416</v>
      </c>
      <c r="DD19" s="20">
        <v>0</v>
      </c>
      <c r="DE19" s="20">
        <v>0</v>
      </c>
      <c r="DF19" s="20">
        <v>13859</v>
      </c>
      <c r="DG19" s="20">
        <v>0</v>
      </c>
      <c r="DH19" s="20">
        <v>0</v>
      </c>
      <c r="DI19" s="20"/>
      <c r="DJ19" s="20">
        <v>7425</v>
      </c>
      <c r="DK19" s="22">
        <v>0</v>
      </c>
      <c r="DL19" s="20">
        <v>0</v>
      </c>
      <c r="DM19" s="20">
        <v>0</v>
      </c>
      <c r="DN19" s="20">
        <v>4426048.2086157463</v>
      </c>
      <c r="DO19" s="20">
        <f t="shared" si="0"/>
        <v>3283835.5903517678</v>
      </c>
      <c r="DP19" s="21">
        <v>469407</v>
      </c>
      <c r="DQ19" s="20">
        <f t="shared" si="1"/>
        <v>53700</v>
      </c>
      <c r="DR19" s="20">
        <f t="shared" si="2"/>
        <v>11485</v>
      </c>
      <c r="DS19" s="20">
        <f t="shared" si="12"/>
        <v>404222</v>
      </c>
      <c r="DT19" s="23">
        <f t="shared" si="13"/>
        <v>0.86113330223026074</v>
      </c>
      <c r="DU19" s="20">
        <f t="shared" si="3"/>
        <v>3131207.2005636212</v>
      </c>
      <c r="DV19" s="20">
        <f t="shared" si="4"/>
        <v>554456.35344405065</v>
      </c>
      <c r="DW19" s="20">
        <f t="shared" si="5"/>
        <v>10081.024608073649</v>
      </c>
      <c r="DX19" s="20">
        <f t="shared" si="6"/>
        <v>149053.11000000002</v>
      </c>
      <c r="DY19" s="20">
        <f t="shared" si="7"/>
        <v>0</v>
      </c>
      <c r="DZ19" s="20">
        <f t="shared" si="8"/>
        <v>0</v>
      </c>
      <c r="EA19" s="20">
        <f t="shared" si="9"/>
        <v>0</v>
      </c>
      <c r="EB19" s="20">
        <f t="shared" si="10"/>
        <v>111843.51999999999</v>
      </c>
      <c r="EC19" s="20">
        <f t="shared" si="14"/>
        <v>404222</v>
      </c>
      <c r="ED19" s="20">
        <f t="shared" si="15"/>
        <v>53700</v>
      </c>
      <c r="EE19" s="20">
        <f t="shared" si="15"/>
        <v>11485</v>
      </c>
      <c r="EF19" s="20">
        <f t="shared" si="16"/>
        <v>469407</v>
      </c>
      <c r="EG19" s="23">
        <f t="shared" si="17"/>
        <v>0.86113330223026074</v>
      </c>
      <c r="EH19" s="20">
        <f t="shared" si="18"/>
        <v>4426048.2086157454</v>
      </c>
    </row>
    <row r="20" spans="1:138" x14ac:dyDescent="0.25">
      <c r="A20" s="18">
        <v>247</v>
      </c>
      <c r="B20" t="s">
        <v>158</v>
      </c>
      <c r="C20" t="s">
        <v>135</v>
      </c>
      <c r="D20">
        <v>7</v>
      </c>
      <c r="E20">
        <v>267</v>
      </c>
      <c r="F20" s="19">
        <f t="shared" si="11"/>
        <v>0.67041198501872656</v>
      </c>
      <c r="G20">
        <v>179</v>
      </c>
      <c r="H20" s="20">
        <v>191050.75104188372</v>
      </c>
      <c r="I20" s="20">
        <v>110891.27068881014</v>
      </c>
      <c r="J20" s="20">
        <v>0</v>
      </c>
      <c r="K20" s="20">
        <v>0</v>
      </c>
      <c r="L20" s="20">
        <v>0</v>
      </c>
      <c r="M20" s="20">
        <v>44752.529598305518</v>
      </c>
      <c r="N20" s="20">
        <v>59866.796146808359</v>
      </c>
      <c r="O20" s="20">
        <v>0</v>
      </c>
      <c r="P20" s="20">
        <v>0</v>
      </c>
      <c r="Q20" s="20">
        <v>0</v>
      </c>
      <c r="R20" s="20"/>
      <c r="S20" s="20">
        <v>77625.750694703253</v>
      </c>
      <c r="T20" s="20">
        <v>60676.224767295193</v>
      </c>
      <c r="U20" s="20">
        <v>49716.317374927377</v>
      </c>
      <c r="V20" s="20">
        <v>55445.635344405069</v>
      </c>
      <c r="W20" s="20">
        <v>110891.27068881014</v>
      </c>
      <c r="X20" s="20">
        <v>110891.27068881014</v>
      </c>
      <c r="Y20" s="20">
        <v>110891.27068881014</v>
      </c>
      <c r="Z20" s="20">
        <v>0</v>
      </c>
      <c r="AA20" s="20"/>
      <c r="AB20" s="20">
        <v>110891.27068881014</v>
      </c>
      <c r="AC20" s="20">
        <v>33411.157694564718</v>
      </c>
      <c r="AD20" s="20">
        <v>0</v>
      </c>
      <c r="AE20" s="20">
        <v>0</v>
      </c>
      <c r="AF20" s="20">
        <v>221782.54137762028</v>
      </c>
      <c r="AG20" s="20">
        <v>66822.315389129435</v>
      </c>
      <c r="AH20" s="20">
        <v>221782.54137762028</v>
      </c>
      <c r="AI20" s="20">
        <v>66822.315389129435</v>
      </c>
      <c r="AJ20" s="20">
        <v>221782.54137762028</v>
      </c>
      <c r="AK20" s="20">
        <v>221782.54137762028</v>
      </c>
      <c r="AL20" s="20">
        <v>221782.54137762028</v>
      </c>
      <c r="AM20" s="20">
        <v>221782.54137762028</v>
      </c>
      <c r="AN20" s="20">
        <v>221782.54137762028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/>
      <c r="AX20" s="20">
        <v>0</v>
      </c>
      <c r="AY20" s="20">
        <v>110891.27068881014</v>
      </c>
      <c r="AZ20" s="20">
        <v>221782.54137762028</v>
      </c>
      <c r="BA20" s="20">
        <v>776238.89482167095</v>
      </c>
      <c r="BB20" s="20">
        <v>133644.63077825887</v>
      </c>
      <c r="BC20" s="20">
        <v>0</v>
      </c>
      <c r="BD20" s="20">
        <v>0</v>
      </c>
      <c r="BE20" s="20">
        <v>10081.024608073649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/>
      <c r="BM20" s="20">
        <v>0</v>
      </c>
      <c r="BN20" s="20">
        <v>100151.09</v>
      </c>
      <c r="BO20" s="20">
        <v>1656.89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110891.27068881014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/>
      <c r="CM20" s="20">
        <v>0</v>
      </c>
      <c r="CN20" s="20">
        <v>0</v>
      </c>
      <c r="CO20" s="20">
        <v>111843.51999999999</v>
      </c>
      <c r="CP20" s="20">
        <v>0</v>
      </c>
      <c r="CQ20" s="20">
        <v>0</v>
      </c>
      <c r="CR20" s="20">
        <v>0</v>
      </c>
      <c r="CS20" s="20">
        <v>3580</v>
      </c>
      <c r="CT20" s="20">
        <v>0</v>
      </c>
      <c r="CU20" s="20">
        <v>15742.715486725663</v>
      </c>
      <c r="CV20" s="20">
        <v>0</v>
      </c>
      <c r="CW20" s="20"/>
      <c r="CX20" s="20">
        <v>0</v>
      </c>
      <c r="CY20" s="20">
        <v>0</v>
      </c>
      <c r="CZ20" s="20">
        <v>0</v>
      </c>
      <c r="DA20" s="20">
        <v>0</v>
      </c>
      <c r="DB20" s="20">
        <v>26700</v>
      </c>
      <c r="DC20" s="20">
        <v>65458.773010727957</v>
      </c>
      <c r="DD20" s="20">
        <v>0</v>
      </c>
      <c r="DE20" s="20">
        <v>0</v>
      </c>
      <c r="DF20" s="20">
        <v>13859</v>
      </c>
      <c r="DG20" s="20">
        <v>0</v>
      </c>
      <c r="DH20" s="20">
        <v>0</v>
      </c>
      <c r="DI20" s="20"/>
      <c r="DJ20" s="20">
        <v>21450.000130757689</v>
      </c>
      <c r="DK20" s="22">
        <v>0</v>
      </c>
      <c r="DL20" s="20">
        <v>0</v>
      </c>
      <c r="DM20" s="20">
        <v>0</v>
      </c>
      <c r="DN20" s="20">
        <v>4537095.5581200002</v>
      </c>
      <c r="DO20" s="20">
        <f t="shared" si="0"/>
        <v>2733007.1321890727</v>
      </c>
      <c r="DP20" s="21">
        <v>413910</v>
      </c>
      <c r="DQ20" s="20">
        <f t="shared" si="1"/>
        <v>0</v>
      </c>
      <c r="DR20" s="20">
        <f t="shared" si="2"/>
        <v>135921.27081956784</v>
      </c>
      <c r="DS20" s="20">
        <f t="shared" si="12"/>
        <v>277988.72918043216</v>
      </c>
      <c r="DT20" s="23">
        <f t="shared" si="13"/>
        <v>0.67161636389657697</v>
      </c>
      <c r="DU20" s="20">
        <f t="shared" si="3"/>
        <v>2656895.6958455658</v>
      </c>
      <c r="DV20" s="20">
        <f t="shared" si="4"/>
        <v>1242557.3376663602</v>
      </c>
      <c r="DW20" s="20">
        <f t="shared" si="5"/>
        <v>10081.024608073649</v>
      </c>
      <c r="DX20" s="20">
        <f t="shared" si="6"/>
        <v>101807.98</v>
      </c>
      <c r="DY20" s="20">
        <f t="shared" si="7"/>
        <v>0</v>
      </c>
      <c r="DZ20" s="20">
        <f t="shared" si="8"/>
        <v>0</v>
      </c>
      <c r="EA20" s="20">
        <f t="shared" si="9"/>
        <v>0</v>
      </c>
      <c r="EB20" s="20">
        <f t="shared" si="10"/>
        <v>111843.51999999999</v>
      </c>
      <c r="EC20" s="20">
        <f t="shared" si="14"/>
        <v>277988.72918043216</v>
      </c>
      <c r="ED20" s="20">
        <f t="shared" si="15"/>
        <v>0</v>
      </c>
      <c r="EE20" s="20">
        <f t="shared" si="15"/>
        <v>135921.27081956784</v>
      </c>
      <c r="EF20" s="20">
        <f t="shared" si="16"/>
        <v>413910</v>
      </c>
      <c r="EG20" s="23">
        <f t="shared" si="17"/>
        <v>0.67161636389657697</v>
      </c>
      <c r="EH20" s="20">
        <f t="shared" si="18"/>
        <v>4537095.5581200002</v>
      </c>
    </row>
    <row r="21" spans="1:138" x14ac:dyDescent="0.25">
      <c r="A21" s="18">
        <v>360</v>
      </c>
      <c r="B21" t="s">
        <v>159</v>
      </c>
      <c r="C21" t="s">
        <v>150</v>
      </c>
      <c r="D21">
        <v>6</v>
      </c>
      <c r="E21">
        <v>339</v>
      </c>
      <c r="F21" s="19">
        <f t="shared" si="11"/>
        <v>0.18584070796460178</v>
      </c>
      <c r="G21">
        <v>63</v>
      </c>
      <c r="H21" s="20">
        <v>191050.75104188372</v>
      </c>
      <c r="I21" s="20">
        <v>110891.27068881014</v>
      </c>
      <c r="J21" s="20">
        <v>45874.424764996482</v>
      </c>
      <c r="K21" s="20">
        <v>110891.27068881014</v>
      </c>
      <c r="L21" s="20">
        <v>0</v>
      </c>
      <c r="M21" s="20">
        <v>89505.059196611037</v>
      </c>
      <c r="N21" s="20">
        <v>59866.796146808359</v>
      </c>
      <c r="O21" s="20">
        <v>0</v>
      </c>
      <c r="P21" s="20">
        <v>0</v>
      </c>
      <c r="Q21" s="20">
        <v>0</v>
      </c>
      <c r="R21" s="20"/>
      <c r="S21" s="20">
        <v>77625.750694703253</v>
      </c>
      <c r="T21" s="20">
        <v>60676.224767295193</v>
      </c>
      <c r="U21" s="20">
        <v>99432.634749854755</v>
      </c>
      <c r="V21" s="20">
        <v>110891.27068881014</v>
      </c>
      <c r="W21" s="20">
        <v>110891.27068881014</v>
      </c>
      <c r="X21" s="20">
        <v>110891.27068881014</v>
      </c>
      <c r="Y21" s="20">
        <v>110891.27068881014</v>
      </c>
      <c r="Z21" s="20">
        <v>0</v>
      </c>
      <c r="AA21" s="20"/>
      <c r="AB21" s="20">
        <v>0</v>
      </c>
      <c r="AC21" s="20">
        <v>0</v>
      </c>
      <c r="AD21" s="20">
        <v>887130.16551048111</v>
      </c>
      <c r="AE21" s="20">
        <v>267289.26155651774</v>
      </c>
      <c r="AF21" s="20">
        <v>0</v>
      </c>
      <c r="AG21" s="20">
        <v>0</v>
      </c>
      <c r="AH21" s="20">
        <v>221782.54137762028</v>
      </c>
      <c r="AI21" s="20">
        <v>66822.315389129435</v>
      </c>
      <c r="AJ21" s="20">
        <v>221782.54137762028</v>
      </c>
      <c r="AK21" s="20">
        <v>110891.27068881014</v>
      </c>
      <c r="AL21" s="20">
        <v>110891.27068881014</v>
      </c>
      <c r="AM21" s="20">
        <v>110891.27068881014</v>
      </c>
      <c r="AN21" s="20">
        <v>110891.27068881014</v>
      </c>
      <c r="AO21" s="20">
        <v>144158.65189545319</v>
      </c>
      <c r="AP21" s="20">
        <v>144158.65189545319</v>
      </c>
      <c r="AQ21" s="20">
        <v>155247.7789643342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/>
      <c r="AX21" s="20">
        <v>0</v>
      </c>
      <c r="AY21" s="20">
        <v>110891.27068881014</v>
      </c>
      <c r="AZ21" s="20">
        <v>110891.27068881014</v>
      </c>
      <c r="BA21" s="20">
        <v>443565.08275524055</v>
      </c>
      <c r="BB21" s="20">
        <v>0</v>
      </c>
      <c r="BC21" s="20">
        <v>0</v>
      </c>
      <c r="BD21" s="20">
        <v>0</v>
      </c>
      <c r="BE21" s="20">
        <v>110891.27068881014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/>
      <c r="BM21" s="20">
        <v>0</v>
      </c>
      <c r="BN21" s="20">
        <v>0</v>
      </c>
      <c r="BO21" s="20">
        <v>0</v>
      </c>
      <c r="BP21" s="20">
        <v>8125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221782.54137762028</v>
      </c>
      <c r="CL21" s="20"/>
      <c r="CM21" s="20">
        <v>23000</v>
      </c>
      <c r="CN21" s="20">
        <v>5000</v>
      </c>
      <c r="CO21" s="20">
        <v>167765.28</v>
      </c>
      <c r="CP21" s="20">
        <v>100000</v>
      </c>
      <c r="CQ21" s="20">
        <v>0</v>
      </c>
      <c r="CR21" s="20">
        <v>0</v>
      </c>
      <c r="CS21" s="20">
        <v>0</v>
      </c>
      <c r="CT21" s="20">
        <v>72000</v>
      </c>
      <c r="CU21" s="20">
        <v>20411.761096938775</v>
      </c>
      <c r="CV21" s="20">
        <v>0</v>
      </c>
      <c r="CW21" s="20"/>
      <c r="CX21" s="20">
        <v>0</v>
      </c>
      <c r="CY21" s="20">
        <v>0</v>
      </c>
      <c r="CZ21" s="20">
        <v>0</v>
      </c>
      <c r="DA21" s="20">
        <v>0</v>
      </c>
      <c r="DB21" s="20">
        <v>33900</v>
      </c>
      <c r="DC21" s="20">
        <v>80682.536847900075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/>
      <c r="DJ21" s="20">
        <v>8550.0001139938831</v>
      </c>
      <c r="DK21" s="22">
        <v>0</v>
      </c>
      <c r="DL21" s="20">
        <v>0</v>
      </c>
      <c r="DM21" s="20">
        <v>0</v>
      </c>
      <c r="DN21" s="20">
        <v>5358772.2704749862</v>
      </c>
      <c r="DO21" s="20">
        <f t="shared" si="0"/>
        <v>4088358.4853274692</v>
      </c>
      <c r="DP21" s="21">
        <v>145678</v>
      </c>
      <c r="DQ21" s="20">
        <f t="shared" si="1"/>
        <v>0</v>
      </c>
      <c r="DR21" s="20">
        <f t="shared" si="2"/>
        <v>80550.000113993883</v>
      </c>
      <c r="DS21" s="20">
        <f t="shared" si="12"/>
        <v>65127.999886006117</v>
      </c>
      <c r="DT21" s="23">
        <f t="shared" si="13"/>
        <v>0.44706819070831638</v>
      </c>
      <c r="DU21" s="20">
        <f t="shared" si="3"/>
        <v>4260965.0956533151</v>
      </c>
      <c r="DV21" s="20">
        <f t="shared" si="4"/>
        <v>665347.6241328608</v>
      </c>
      <c r="DW21" s="20">
        <f t="shared" si="5"/>
        <v>110891.27068881014</v>
      </c>
      <c r="DX21" s="20">
        <f t="shared" si="6"/>
        <v>8125</v>
      </c>
      <c r="DY21" s="20">
        <f t="shared" si="7"/>
        <v>0</v>
      </c>
      <c r="DZ21" s="20">
        <f t="shared" si="8"/>
        <v>0</v>
      </c>
      <c r="EA21" s="20">
        <f t="shared" si="9"/>
        <v>0</v>
      </c>
      <c r="EB21" s="20">
        <f t="shared" si="10"/>
        <v>167765.28</v>
      </c>
      <c r="EC21" s="20">
        <f t="shared" si="14"/>
        <v>65127.999886006117</v>
      </c>
      <c r="ED21" s="20">
        <f t="shared" si="15"/>
        <v>0</v>
      </c>
      <c r="EE21" s="20">
        <f t="shared" si="15"/>
        <v>80550.000113993883</v>
      </c>
      <c r="EF21" s="20">
        <f t="shared" si="16"/>
        <v>145678</v>
      </c>
      <c r="EG21" s="23">
        <f t="shared" si="17"/>
        <v>0.44706819070831638</v>
      </c>
      <c r="EH21" s="20">
        <f t="shared" si="18"/>
        <v>5358772.2704749862</v>
      </c>
    </row>
    <row r="22" spans="1:138" x14ac:dyDescent="0.25">
      <c r="A22" s="18">
        <v>454</v>
      </c>
      <c r="B22" t="s">
        <v>160</v>
      </c>
      <c r="C22" t="s">
        <v>161</v>
      </c>
      <c r="D22">
        <v>1</v>
      </c>
      <c r="E22">
        <v>736</v>
      </c>
      <c r="F22" s="19">
        <f t="shared" si="11"/>
        <v>0.82608695652173914</v>
      </c>
      <c r="G22">
        <v>608</v>
      </c>
      <c r="H22" s="20">
        <v>191050.75104188372</v>
      </c>
      <c r="I22" s="20">
        <v>110891.27068881014</v>
      </c>
      <c r="J22" s="20">
        <v>382286.87304163736</v>
      </c>
      <c r="K22" s="20">
        <v>110891.27068881014</v>
      </c>
      <c r="L22" s="20">
        <v>311897.15218886972</v>
      </c>
      <c r="M22" s="20">
        <v>89505.059196611037</v>
      </c>
      <c r="N22" s="20">
        <v>59866.796146808359</v>
      </c>
      <c r="O22" s="20">
        <v>80696.148980939412</v>
      </c>
      <c r="P22" s="20">
        <v>49534.351124581444</v>
      </c>
      <c r="Q22" s="20">
        <v>69924.031375330247</v>
      </c>
      <c r="R22" s="20"/>
      <c r="S22" s="20">
        <v>77625.750694703253</v>
      </c>
      <c r="T22" s="20">
        <v>60676.224767295193</v>
      </c>
      <c r="U22" s="20">
        <v>397730.53899941902</v>
      </c>
      <c r="V22" s="20">
        <v>110891.27068881014</v>
      </c>
      <c r="W22" s="20">
        <v>0</v>
      </c>
      <c r="X22" s="20">
        <v>0</v>
      </c>
      <c r="Y22" s="20">
        <v>0</v>
      </c>
      <c r="Z22" s="20">
        <v>0</v>
      </c>
      <c r="AA22" s="20"/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377030.32034195447</v>
      </c>
      <c r="AP22" s="20">
        <v>432475.95568635955</v>
      </c>
      <c r="AQ22" s="20">
        <v>321584.6849975494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3385066.0451032501</v>
      </c>
      <c r="AX22" s="20">
        <v>0</v>
      </c>
      <c r="AY22" s="20">
        <v>110891.27068881014</v>
      </c>
      <c r="AZ22" s="20">
        <v>887130.16551048111</v>
      </c>
      <c r="BA22" s="20">
        <v>2328716.684465013</v>
      </c>
      <c r="BB22" s="20">
        <v>434345.05002934131</v>
      </c>
      <c r="BC22" s="20">
        <v>96655.873025941983</v>
      </c>
      <c r="BD22" s="20">
        <v>0</v>
      </c>
      <c r="BE22" s="20">
        <v>1663369.0603321521</v>
      </c>
      <c r="BF22" s="20">
        <v>66822.315389129435</v>
      </c>
      <c r="BG22" s="20">
        <v>374276.58262664371</v>
      </c>
      <c r="BH22" s="20">
        <v>0</v>
      </c>
      <c r="BI22" s="20">
        <v>0</v>
      </c>
      <c r="BJ22" s="20">
        <v>0</v>
      </c>
      <c r="BK22" s="20">
        <v>70000</v>
      </c>
      <c r="BL22" s="20"/>
      <c r="BM22" s="20">
        <v>0</v>
      </c>
      <c r="BN22" s="20">
        <v>309829.11</v>
      </c>
      <c r="BO22" s="20">
        <v>5125.78</v>
      </c>
      <c r="BP22" s="20">
        <v>0</v>
      </c>
      <c r="BQ22" s="20">
        <v>0</v>
      </c>
      <c r="BR22" s="20">
        <v>0</v>
      </c>
      <c r="BS22" s="20">
        <v>152914.74921665495</v>
      </c>
      <c r="BT22" s="20">
        <v>0</v>
      </c>
      <c r="BU22" s="20">
        <v>0</v>
      </c>
      <c r="BV22" s="20">
        <v>0</v>
      </c>
      <c r="BW22" s="20">
        <v>152914.74921665495</v>
      </c>
      <c r="BX22" s="20">
        <v>8279.7800000000007</v>
      </c>
      <c r="BY22" s="20">
        <v>16920</v>
      </c>
      <c r="BZ22" s="20">
        <v>0</v>
      </c>
      <c r="CA22" s="20">
        <v>0</v>
      </c>
      <c r="CB22" s="20">
        <v>0</v>
      </c>
      <c r="CC22" s="20">
        <v>0</v>
      </c>
      <c r="CD22" s="20">
        <v>44000</v>
      </c>
      <c r="CE22" s="20">
        <v>221782.54137762028</v>
      </c>
      <c r="CF22" s="20">
        <v>0</v>
      </c>
      <c r="CG22" s="20">
        <v>140126.11598983698</v>
      </c>
      <c r="CH22" s="20">
        <v>0</v>
      </c>
      <c r="CI22" s="20">
        <v>0</v>
      </c>
      <c r="CJ22" s="20">
        <v>110891.27068881014</v>
      </c>
      <c r="CK22" s="20">
        <v>221782.54137762028</v>
      </c>
      <c r="CL22" s="20"/>
      <c r="CM22" s="20">
        <v>23000</v>
      </c>
      <c r="CN22" s="20">
        <v>5000</v>
      </c>
      <c r="CO22" s="20">
        <v>676216</v>
      </c>
      <c r="CP22" s="20">
        <v>100000</v>
      </c>
      <c r="CQ22" s="20">
        <v>114084.97559574516</v>
      </c>
      <c r="CR22" s="20">
        <v>75000</v>
      </c>
      <c r="CS22" s="20">
        <v>24320</v>
      </c>
      <c r="CT22" s="20">
        <v>46440</v>
      </c>
      <c r="CU22" s="20">
        <v>91149.143925233642</v>
      </c>
      <c r="CV22" s="20">
        <v>114084.97559574516</v>
      </c>
      <c r="CW22" s="20"/>
      <c r="CX22" s="20">
        <v>0</v>
      </c>
      <c r="CY22" s="20">
        <v>0</v>
      </c>
      <c r="CZ22" s="20">
        <v>5000</v>
      </c>
      <c r="DA22" s="20">
        <v>113945.66</v>
      </c>
      <c r="DB22" s="20">
        <v>73600</v>
      </c>
      <c r="DC22" s="20">
        <v>214582.15256576095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/>
      <c r="DJ22" s="20">
        <v>58125.001519918442</v>
      </c>
      <c r="DK22" s="22">
        <v>0</v>
      </c>
      <c r="DL22" s="20">
        <v>0</v>
      </c>
      <c r="DM22" s="20">
        <v>0</v>
      </c>
      <c r="DN22" s="20">
        <v>15770945.704890739</v>
      </c>
      <c r="DO22" s="20">
        <f t="shared" si="0"/>
        <v>7148573.3361341842</v>
      </c>
      <c r="DP22" s="21">
        <v>1405907</v>
      </c>
      <c r="DQ22" s="20">
        <f t="shared" si="1"/>
        <v>70000</v>
      </c>
      <c r="DR22" s="20">
        <f t="shared" si="2"/>
        <v>758125.37153881055</v>
      </c>
      <c r="DS22" s="20">
        <f t="shared" si="12"/>
        <v>577781.62846118945</v>
      </c>
      <c r="DT22" s="23">
        <f t="shared" si="13"/>
        <v>0.41096717525497023</v>
      </c>
      <c r="DU22" s="20">
        <f t="shared" si="3"/>
        <v>7336661.1528232219</v>
      </c>
      <c r="DV22" s="20">
        <f t="shared" si="4"/>
        <v>3857739.0437195874</v>
      </c>
      <c r="DW22" s="20">
        <f t="shared" si="5"/>
        <v>2104467.958347925</v>
      </c>
      <c r="DX22" s="20">
        <f t="shared" si="6"/>
        <v>389954.89</v>
      </c>
      <c r="DY22" s="20">
        <f t="shared" si="7"/>
        <v>0</v>
      </c>
      <c r="DZ22" s="20">
        <f t="shared" si="8"/>
        <v>0</v>
      </c>
      <c r="EA22" s="20">
        <f t="shared" si="9"/>
        <v>0</v>
      </c>
      <c r="EB22" s="20">
        <f t="shared" si="10"/>
        <v>676216</v>
      </c>
      <c r="EC22" s="20">
        <f t="shared" si="14"/>
        <v>577781.62846118945</v>
      </c>
      <c r="ED22" s="20">
        <f t="shared" si="15"/>
        <v>70000</v>
      </c>
      <c r="EE22" s="20">
        <f t="shared" si="15"/>
        <v>758125.37153881055</v>
      </c>
      <c r="EF22" s="20">
        <f t="shared" si="16"/>
        <v>1405907</v>
      </c>
      <c r="EG22" s="23">
        <f t="shared" si="17"/>
        <v>0.41096717525497023</v>
      </c>
      <c r="EH22" s="20">
        <f t="shared" si="18"/>
        <v>15770946.044890735</v>
      </c>
    </row>
    <row r="23" spans="1:138" x14ac:dyDescent="0.25">
      <c r="A23" s="18">
        <v>224</v>
      </c>
      <c r="B23" t="s">
        <v>162</v>
      </c>
      <c r="C23" t="s">
        <v>135</v>
      </c>
      <c r="D23">
        <v>1</v>
      </c>
      <c r="E23">
        <v>307</v>
      </c>
      <c r="F23" s="19">
        <f t="shared" si="11"/>
        <v>0.44625407166123776</v>
      </c>
      <c r="G23">
        <v>137</v>
      </c>
      <c r="H23" s="20">
        <v>191050.75104188372</v>
      </c>
      <c r="I23" s="20">
        <v>110891.27068881014</v>
      </c>
      <c r="J23" s="20">
        <v>122331.79937332397</v>
      </c>
      <c r="K23" s="20">
        <v>0</v>
      </c>
      <c r="L23" s="20">
        <v>0</v>
      </c>
      <c r="M23" s="20">
        <v>89505.059196611037</v>
      </c>
      <c r="N23" s="20">
        <v>59866.796146808359</v>
      </c>
      <c r="O23" s="20">
        <v>0</v>
      </c>
      <c r="P23" s="20">
        <v>0</v>
      </c>
      <c r="Q23" s="20">
        <v>0</v>
      </c>
      <c r="R23" s="20"/>
      <c r="S23" s="20">
        <v>77625.750694703253</v>
      </c>
      <c r="T23" s="20">
        <v>60676.224767295193</v>
      </c>
      <c r="U23" s="20">
        <v>99432.634749854755</v>
      </c>
      <c r="V23" s="20">
        <v>110891.27068881014</v>
      </c>
      <c r="W23" s="20">
        <v>110891.27068881014</v>
      </c>
      <c r="X23" s="20">
        <v>110891.27068881014</v>
      </c>
      <c r="Y23" s="20">
        <v>110891.27068881014</v>
      </c>
      <c r="Z23" s="20">
        <f>166336.906033215-AA23</f>
        <v>0</v>
      </c>
      <c r="AA23" s="20">
        <v>166336.9060332152</v>
      </c>
      <c r="AB23" s="20">
        <v>221782.54137762028</v>
      </c>
      <c r="AC23" s="20">
        <v>66822.315389129435</v>
      </c>
      <c r="AD23" s="20">
        <v>110891.27068881014</v>
      </c>
      <c r="AE23" s="20">
        <v>66822.315389129435</v>
      </c>
      <c r="AF23" s="20">
        <v>221782.54137762028</v>
      </c>
      <c r="AG23" s="20">
        <v>66822.315389129435</v>
      </c>
      <c r="AH23" s="20">
        <v>332673.8120664304</v>
      </c>
      <c r="AI23" s="20">
        <v>100233.47308369415</v>
      </c>
      <c r="AJ23" s="20">
        <v>221782.54137762028</v>
      </c>
      <c r="AK23" s="20">
        <v>221782.54137762028</v>
      </c>
      <c r="AL23" s="20">
        <v>221782.54137762028</v>
      </c>
      <c r="AM23" s="20">
        <v>221782.54137762028</v>
      </c>
      <c r="AN23" s="20">
        <v>221782.54137762028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/>
      <c r="AX23" s="20">
        <v>0</v>
      </c>
      <c r="AY23" s="20">
        <v>55445.635344405069</v>
      </c>
      <c r="AZ23" s="20">
        <v>221782.54137762028</v>
      </c>
      <c r="BA23" s="20">
        <v>776238.89482167095</v>
      </c>
      <c r="BB23" s="20">
        <v>200466.94616738829</v>
      </c>
      <c r="BC23" s="20">
        <v>0</v>
      </c>
      <c r="BD23" s="20">
        <v>0</v>
      </c>
      <c r="BE23" s="20">
        <v>443565.08275524055</v>
      </c>
      <c r="BF23" s="20">
        <v>0</v>
      </c>
      <c r="BG23" s="20">
        <v>0</v>
      </c>
      <c r="BH23" s="21">
        <f>42960-14320</f>
        <v>28640</v>
      </c>
      <c r="BI23" s="21">
        <f>42960-14320</f>
        <v>28640</v>
      </c>
      <c r="BJ23" s="20">
        <v>10740</v>
      </c>
      <c r="BK23" s="20">
        <v>0</v>
      </c>
      <c r="BL23" s="20"/>
      <c r="BM23" s="20">
        <v>28640</v>
      </c>
      <c r="BN23" s="20">
        <v>131261.85</v>
      </c>
      <c r="BO23" s="20">
        <v>2171.58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/>
      <c r="CM23" s="20">
        <v>0</v>
      </c>
      <c r="CN23" s="20">
        <v>0</v>
      </c>
      <c r="CO23" s="20">
        <v>55921.759999999995</v>
      </c>
      <c r="CP23" s="20">
        <v>0</v>
      </c>
      <c r="CQ23" s="20">
        <v>0</v>
      </c>
      <c r="CR23" s="20">
        <v>0</v>
      </c>
      <c r="CS23" s="20">
        <v>2740</v>
      </c>
      <c r="CT23" s="20">
        <v>0</v>
      </c>
      <c r="CU23" s="20">
        <v>17601.348121387284</v>
      </c>
      <c r="CV23" s="20">
        <v>0</v>
      </c>
      <c r="CW23" s="20"/>
      <c r="CX23" s="20">
        <v>0</v>
      </c>
      <c r="CY23" s="20">
        <v>0</v>
      </c>
      <c r="CZ23" s="20">
        <v>0</v>
      </c>
      <c r="DA23" s="20">
        <v>0</v>
      </c>
      <c r="DB23" s="20">
        <v>30700</v>
      </c>
      <c r="DC23" s="20">
        <v>87189.947147776154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/>
      <c r="DJ23" s="20">
        <v>14574.999721348286</v>
      </c>
      <c r="DK23" s="22">
        <v>0</v>
      </c>
      <c r="DL23" s="20">
        <v>0</v>
      </c>
      <c r="DM23" s="20">
        <v>0</v>
      </c>
      <c r="DN23" s="20">
        <v>5854346.1525542485</v>
      </c>
      <c r="DO23" s="20">
        <f t="shared" si="0"/>
        <v>3449445.3461215063</v>
      </c>
      <c r="DP23" s="21">
        <v>316792</v>
      </c>
      <c r="DQ23" s="20">
        <f t="shared" si="1"/>
        <v>68020</v>
      </c>
      <c r="DR23" s="20">
        <f t="shared" si="2"/>
        <v>183651.90575456349</v>
      </c>
      <c r="DS23" s="20">
        <f t="shared" si="12"/>
        <v>65120.094245436514</v>
      </c>
      <c r="DT23" s="23">
        <f t="shared" si="13"/>
        <v>0.20556104398291786</v>
      </c>
      <c r="DU23" s="20">
        <f t="shared" si="3"/>
        <v>3622059.8620879226</v>
      </c>
      <c r="DV23" s="20">
        <f t="shared" si="4"/>
        <v>1253934.0177110846</v>
      </c>
      <c r="DW23" s="20">
        <f t="shared" si="5"/>
        <v>443565.08275524055</v>
      </c>
      <c r="DX23" s="20">
        <f t="shared" si="6"/>
        <v>162073.43</v>
      </c>
      <c r="DY23" s="20">
        <f t="shared" si="7"/>
        <v>0</v>
      </c>
      <c r="DZ23" s="20">
        <f t="shared" si="8"/>
        <v>0</v>
      </c>
      <c r="EA23" s="20">
        <f t="shared" si="9"/>
        <v>0</v>
      </c>
      <c r="EB23" s="20">
        <f t="shared" si="10"/>
        <v>55921.759999999995</v>
      </c>
      <c r="EC23" s="20">
        <f t="shared" si="14"/>
        <v>65120.094245436514</v>
      </c>
      <c r="ED23" s="20">
        <f t="shared" si="15"/>
        <v>68020</v>
      </c>
      <c r="EE23" s="20">
        <f t="shared" si="15"/>
        <v>183651.90575456349</v>
      </c>
      <c r="EF23" s="20">
        <f t="shared" si="16"/>
        <v>316792</v>
      </c>
      <c r="EG23" s="23">
        <f t="shared" si="17"/>
        <v>0.20556104398291786</v>
      </c>
      <c r="EH23" s="20">
        <f t="shared" si="18"/>
        <v>5854346.1525542475</v>
      </c>
    </row>
    <row r="24" spans="1:138" x14ac:dyDescent="0.25">
      <c r="A24" s="18">
        <v>442</v>
      </c>
      <c r="B24" t="s">
        <v>163</v>
      </c>
      <c r="C24" t="s">
        <v>161</v>
      </c>
      <c r="D24">
        <v>1</v>
      </c>
      <c r="E24">
        <v>1520</v>
      </c>
      <c r="F24" s="19">
        <f t="shared" si="11"/>
        <v>0.56973684210526321</v>
      </c>
      <c r="G24">
        <v>866</v>
      </c>
      <c r="H24" s="20">
        <v>191050.75104188372</v>
      </c>
      <c r="I24" s="20">
        <v>110891.27068881014</v>
      </c>
      <c r="J24" s="20">
        <v>779865.22100494022</v>
      </c>
      <c r="K24" s="20">
        <v>166336.9060332152</v>
      </c>
      <c r="L24" s="20">
        <v>499035.44350219157</v>
      </c>
      <c r="M24" s="20">
        <v>89505.059196611037</v>
      </c>
      <c r="N24" s="20">
        <v>59866.796146808359</v>
      </c>
      <c r="O24" s="20">
        <v>170358.53673753876</v>
      </c>
      <c r="P24" s="20">
        <v>49534.351124581444</v>
      </c>
      <c r="Q24" s="20">
        <v>69924.031375330247</v>
      </c>
      <c r="R24" s="20"/>
      <c r="S24" s="20">
        <v>77625.750694703253</v>
      </c>
      <c r="T24" s="20">
        <v>60676.224767295193</v>
      </c>
      <c r="U24" s="20">
        <v>497163.17374927376</v>
      </c>
      <c r="V24" s="20">
        <v>110891.27068881014</v>
      </c>
      <c r="W24" s="20">
        <v>0</v>
      </c>
      <c r="X24" s="20">
        <v>0</v>
      </c>
      <c r="Y24" s="20">
        <v>0</v>
      </c>
      <c r="Z24" s="20">
        <v>0</v>
      </c>
      <c r="AA24" s="20"/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1086734.4527503394</v>
      </c>
      <c r="AP24" s="20">
        <v>1075645.3256814582</v>
      </c>
      <c r="AQ24" s="20">
        <v>853862.78430383804</v>
      </c>
      <c r="AR24" s="20">
        <v>1186536.5963702684</v>
      </c>
      <c r="AS24" s="20">
        <v>1208714.8505080305</v>
      </c>
      <c r="AT24" s="20">
        <v>1042377.9444748154</v>
      </c>
      <c r="AU24" s="20">
        <v>820595.40309719509</v>
      </c>
      <c r="AV24" s="20">
        <v>0</v>
      </c>
      <c r="AW24" s="20"/>
      <c r="AX24" s="20">
        <v>0</v>
      </c>
      <c r="AY24" s="20">
        <v>110891.27068881014</v>
      </c>
      <c r="AZ24" s="20">
        <v>554456.35344405065</v>
      </c>
      <c r="BA24" s="20">
        <v>2550499.2258426333</v>
      </c>
      <c r="BB24" s="20">
        <v>33411.157694564718</v>
      </c>
      <c r="BC24" s="20">
        <v>0</v>
      </c>
      <c r="BD24" s="20">
        <v>0</v>
      </c>
      <c r="BE24" s="20">
        <v>3104955.5792866838</v>
      </c>
      <c r="BF24" s="20">
        <v>66822.315389129435</v>
      </c>
      <c r="BG24" s="20">
        <v>748553.16525328741</v>
      </c>
      <c r="BH24" s="20">
        <v>0</v>
      </c>
      <c r="BI24" s="20">
        <v>0</v>
      </c>
      <c r="BJ24" s="20">
        <v>0</v>
      </c>
      <c r="BK24" s="20">
        <v>85000</v>
      </c>
      <c r="BL24" s="20"/>
      <c r="BM24" s="20">
        <v>0</v>
      </c>
      <c r="BN24" s="20">
        <v>454483.8</v>
      </c>
      <c r="BO24" s="20">
        <v>7336.78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45000</v>
      </c>
      <c r="CB24" s="20">
        <v>0</v>
      </c>
      <c r="CC24" s="20">
        <v>0</v>
      </c>
      <c r="CD24" s="20">
        <v>55000</v>
      </c>
      <c r="CE24" s="20">
        <v>221782.54137762028</v>
      </c>
      <c r="CF24" s="20">
        <v>0</v>
      </c>
      <c r="CG24" s="20">
        <v>140126.11598983698</v>
      </c>
      <c r="CH24" s="20">
        <v>114084.97559574516</v>
      </c>
      <c r="CI24" s="20">
        <v>0</v>
      </c>
      <c r="CJ24" s="20">
        <v>0</v>
      </c>
      <c r="CK24" s="20">
        <v>332673.8120664304</v>
      </c>
      <c r="CL24" s="20"/>
      <c r="CM24" s="20">
        <v>23000</v>
      </c>
      <c r="CN24" s="20">
        <v>5000</v>
      </c>
      <c r="CO24" s="20">
        <v>676216</v>
      </c>
      <c r="CP24" s="20">
        <v>100000</v>
      </c>
      <c r="CQ24" s="20">
        <v>114084.97559574516</v>
      </c>
      <c r="CR24" s="20">
        <v>0</v>
      </c>
      <c r="CS24" s="20">
        <v>17320</v>
      </c>
      <c r="CT24" s="20">
        <v>316080</v>
      </c>
      <c r="CU24" s="20">
        <v>169030.86</v>
      </c>
      <c r="CV24" s="20">
        <v>114084.97559574516</v>
      </c>
      <c r="CW24" s="20"/>
      <c r="CX24" s="20">
        <v>0</v>
      </c>
      <c r="CY24" s="20">
        <v>0</v>
      </c>
      <c r="CZ24" s="20">
        <v>0</v>
      </c>
      <c r="DA24" s="20">
        <v>0</v>
      </c>
      <c r="DB24" s="20">
        <v>152000</v>
      </c>
      <c r="DC24" s="20">
        <v>295494.65009419987</v>
      </c>
      <c r="DD24" s="20">
        <v>0</v>
      </c>
      <c r="DE24" s="20">
        <v>360000</v>
      </c>
      <c r="DF24" s="20">
        <v>0</v>
      </c>
      <c r="DG24" s="20">
        <v>0</v>
      </c>
      <c r="DH24" s="20">
        <v>0</v>
      </c>
      <c r="DI24" s="20"/>
      <c r="DJ24" s="20">
        <v>67274.998605251312</v>
      </c>
      <c r="DK24" s="22">
        <v>0</v>
      </c>
      <c r="DL24" s="20">
        <v>0</v>
      </c>
      <c r="DM24" s="20">
        <v>0</v>
      </c>
      <c r="DN24" s="20">
        <v>21241855.696457673</v>
      </c>
      <c r="DO24" s="20">
        <f t="shared" si="0"/>
        <v>10984793.833860662</v>
      </c>
      <c r="DP24" s="21">
        <v>2002493</v>
      </c>
      <c r="DQ24" s="20">
        <f t="shared" si="1"/>
        <v>85000</v>
      </c>
      <c r="DR24" s="20">
        <f t="shared" si="2"/>
        <v>823971.06578657858</v>
      </c>
      <c r="DS24" s="20">
        <f t="shared" si="12"/>
        <v>1093521.9342134213</v>
      </c>
      <c r="DT24" s="23">
        <f t="shared" si="13"/>
        <v>0.54608027804013359</v>
      </c>
      <c r="DU24" s="20">
        <f t="shared" si="3"/>
        <v>10526737.048858512</v>
      </c>
      <c r="DV24" s="20">
        <f t="shared" si="4"/>
        <v>3249258.0076700589</v>
      </c>
      <c r="DW24" s="20">
        <f t="shared" si="5"/>
        <v>3920331.0599291008</v>
      </c>
      <c r="DX24" s="20">
        <f t="shared" si="6"/>
        <v>506820.58</v>
      </c>
      <c r="DY24" s="20">
        <f t="shared" si="7"/>
        <v>360000</v>
      </c>
      <c r="DZ24" s="20">
        <f t="shared" si="8"/>
        <v>0</v>
      </c>
      <c r="EA24" s="20">
        <f t="shared" si="9"/>
        <v>0</v>
      </c>
      <c r="EB24" s="20">
        <f t="shared" si="10"/>
        <v>676216</v>
      </c>
      <c r="EC24" s="20">
        <f t="shared" si="14"/>
        <v>1093521.9342134213</v>
      </c>
      <c r="ED24" s="20">
        <f t="shared" si="15"/>
        <v>85000</v>
      </c>
      <c r="EE24" s="20">
        <f t="shared" si="15"/>
        <v>823971.06578657858</v>
      </c>
      <c r="EF24" s="20">
        <f t="shared" si="16"/>
        <v>2002493</v>
      </c>
      <c r="EG24" s="23">
        <f t="shared" si="17"/>
        <v>0.54608027804013359</v>
      </c>
      <c r="EH24" s="20">
        <f t="shared" si="18"/>
        <v>21241855.696457669</v>
      </c>
    </row>
    <row r="25" spans="1:138" x14ac:dyDescent="0.25">
      <c r="A25" s="18">
        <v>455</v>
      </c>
      <c r="B25" t="s">
        <v>164</v>
      </c>
      <c r="C25" t="s">
        <v>138</v>
      </c>
      <c r="D25">
        <v>4</v>
      </c>
      <c r="E25">
        <v>557</v>
      </c>
      <c r="F25" s="19">
        <f t="shared" si="11"/>
        <v>0.59245960502692996</v>
      </c>
      <c r="G25">
        <v>330</v>
      </c>
      <c r="H25" s="20">
        <v>191050.75104188372</v>
      </c>
      <c r="I25" s="20">
        <v>110891.27068881014</v>
      </c>
      <c r="J25" s="20">
        <v>290538.02351164439</v>
      </c>
      <c r="K25" s="20">
        <v>0</v>
      </c>
      <c r="L25" s="20">
        <v>311897.15218886972</v>
      </c>
      <c r="M25" s="20">
        <v>89505.059196611037</v>
      </c>
      <c r="N25" s="20">
        <v>59866.796146808359</v>
      </c>
      <c r="O25" s="20">
        <v>62763.671429619535</v>
      </c>
      <c r="P25" s="20">
        <v>49534.351124581444</v>
      </c>
      <c r="Q25" s="20">
        <v>69924.031375330247</v>
      </c>
      <c r="R25" s="20"/>
      <c r="S25" s="20">
        <v>77625.750694703253</v>
      </c>
      <c r="T25" s="20">
        <v>60676.224767295193</v>
      </c>
      <c r="U25" s="20">
        <v>397730.53899941902</v>
      </c>
      <c r="V25" s="20">
        <v>110891.27068881014</v>
      </c>
      <c r="W25" s="20">
        <v>0</v>
      </c>
      <c r="X25" s="20">
        <v>0</v>
      </c>
      <c r="Y25" s="20">
        <v>0</v>
      </c>
      <c r="Z25" s="20">
        <v>0</v>
      </c>
      <c r="AA25" s="20"/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f>E25/24*AW$120</f>
        <v>2573601.5739028016</v>
      </c>
      <c r="AX25" s="20">
        <f>3839331.32805451-AW25</f>
        <v>1265729.7541517084</v>
      </c>
      <c r="AY25" s="20">
        <v>110891.27068881014</v>
      </c>
      <c r="AZ25" s="20">
        <v>332673.8120664304</v>
      </c>
      <c r="BA25" s="20">
        <v>1219803.9775769114</v>
      </c>
      <c r="BB25" s="20">
        <v>167055.78847282359</v>
      </c>
      <c r="BC25" s="20">
        <v>96655.873025941983</v>
      </c>
      <c r="BD25" s="20">
        <v>0</v>
      </c>
      <c r="BE25" s="20">
        <v>665347.6241328608</v>
      </c>
      <c r="BF25" s="20">
        <v>33411.157694564718</v>
      </c>
      <c r="BG25" s="20">
        <v>124758.86087554789</v>
      </c>
      <c r="BH25" s="20">
        <v>0</v>
      </c>
      <c r="BI25" s="20">
        <v>0</v>
      </c>
      <c r="BJ25" s="20">
        <v>0</v>
      </c>
      <c r="BK25" s="20">
        <v>65000</v>
      </c>
      <c r="BL25" s="20"/>
      <c r="BM25" s="20">
        <v>0</v>
      </c>
      <c r="BN25" s="20">
        <v>194761.91</v>
      </c>
      <c r="BO25" s="20">
        <v>3222.12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152914.74921665495</v>
      </c>
      <c r="BX25" s="20">
        <v>6199.7800000000007</v>
      </c>
      <c r="BY25" s="20">
        <v>19000</v>
      </c>
      <c r="BZ25" s="20">
        <v>0</v>
      </c>
      <c r="CA25" s="20">
        <v>45000</v>
      </c>
      <c r="CB25" s="20">
        <v>0</v>
      </c>
      <c r="CC25" s="20">
        <v>0</v>
      </c>
      <c r="CD25" s="20">
        <v>41000</v>
      </c>
      <c r="CE25" s="20">
        <v>221782.54137762028</v>
      </c>
      <c r="CF25" s="20">
        <v>0</v>
      </c>
      <c r="CG25" s="20">
        <v>280252.23197967396</v>
      </c>
      <c r="CH25" s="20">
        <v>114084.97559574516</v>
      </c>
      <c r="CI25" s="20">
        <v>0</v>
      </c>
      <c r="CJ25" s="20">
        <v>0</v>
      </c>
      <c r="CK25" s="20">
        <v>0</v>
      </c>
      <c r="CL25" s="20"/>
      <c r="CM25" s="20">
        <v>0</v>
      </c>
      <c r="CN25" s="20">
        <v>0</v>
      </c>
      <c r="CO25" s="20">
        <v>376248.31999999995</v>
      </c>
      <c r="CP25" s="20">
        <v>0</v>
      </c>
      <c r="CQ25" s="20">
        <v>114084.97559574516</v>
      </c>
      <c r="CR25" s="20">
        <v>75000</v>
      </c>
      <c r="CS25" s="20">
        <v>6600</v>
      </c>
      <c r="CT25" s="20">
        <v>0</v>
      </c>
      <c r="CU25" s="20">
        <v>83833.419437037039</v>
      </c>
      <c r="CV25" s="20">
        <v>114084.97559574516</v>
      </c>
      <c r="CW25" s="20"/>
      <c r="CX25" s="20">
        <v>0</v>
      </c>
      <c r="CY25" s="20">
        <v>0</v>
      </c>
      <c r="CZ25" s="20">
        <v>0</v>
      </c>
      <c r="DA25" s="20">
        <v>0</v>
      </c>
      <c r="DB25" s="20">
        <v>55700</v>
      </c>
      <c r="DC25" s="20">
        <v>140086.01202371181</v>
      </c>
      <c r="DD25" s="20">
        <v>0</v>
      </c>
      <c r="DE25" s="20">
        <v>250000</v>
      </c>
      <c r="DF25" s="20">
        <v>0</v>
      </c>
      <c r="DG25" s="20">
        <v>0</v>
      </c>
      <c r="DH25" s="20">
        <v>0</v>
      </c>
      <c r="DI25" s="20"/>
      <c r="DJ25" s="20">
        <v>12100.000262260437</v>
      </c>
      <c r="DK25" s="22">
        <v>158753.32534440508</v>
      </c>
      <c r="DL25" s="20">
        <v>0</v>
      </c>
      <c r="DM25" s="20">
        <v>0</v>
      </c>
      <c r="DN25" s="20">
        <v>11002533.920871381</v>
      </c>
      <c r="DO25" s="20">
        <f t="shared" si="0"/>
        <v>4535950.8997298833</v>
      </c>
      <c r="DP25" s="21">
        <v>763075</v>
      </c>
      <c r="DQ25" s="20">
        <f t="shared" si="1"/>
        <v>65000</v>
      </c>
      <c r="DR25" s="20">
        <f t="shared" si="2"/>
        <v>2011966.4668017884</v>
      </c>
      <c r="DS25" s="20">
        <f t="shared" si="12"/>
        <v>-1313891.4668017884</v>
      </c>
      <c r="DT25" s="23">
        <f t="shared" si="13"/>
        <v>-1.721837914755153</v>
      </c>
      <c r="DU25" s="20">
        <f t="shared" si="3"/>
        <v>6385874.8809930896</v>
      </c>
      <c r="DV25" s="20">
        <f t="shared" si="4"/>
        <v>1927080.7218309175</v>
      </c>
      <c r="DW25" s="20">
        <f t="shared" si="5"/>
        <v>823517.64270297333</v>
      </c>
      <c r="DX25" s="20">
        <f t="shared" si="6"/>
        <v>476737.35534440511</v>
      </c>
      <c r="DY25" s="20">
        <f t="shared" si="7"/>
        <v>250000</v>
      </c>
      <c r="DZ25" s="20">
        <f t="shared" si="8"/>
        <v>0</v>
      </c>
      <c r="EA25" s="20">
        <f t="shared" si="9"/>
        <v>0</v>
      </c>
      <c r="EB25" s="20">
        <f t="shared" si="10"/>
        <v>376248.31999999995</v>
      </c>
      <c r="EC25" s="20">
        <f t="shared" si="14"/>
        <v>-1313891.4668017884</v>
      </c>
      <c r="ED25" s="20">
        <f t="shared" si="15"/>
        <v>65000</v>
      </c>
      <c r="EE25" s="20">
        <f t="shared" si="15"/>
        <v>2011966.4668017884</v>
      </c>
      <c r="EF25" s="20">
        <f t="shared" si="16"/>
        <v>763075</v>
      </c>
      <c r="EG25" s="23">
        <f t="shared" si="17"/>
        <v>-1.721837914755153</v>
      </c>
      <c r="EH25" s="20">
        <f t="shared" si="18"/>
        <v>11002533.920871386</v>
      </c>
    </row>
    <row r="26" spans="1:138" x14ac:dyDescent="0.25">
      <c r="A26" s="18">
        <v>405</v>
      </c>
      <c r="B26" t="s">
        <v>165</v>
      </c>
      <c r="C26" t="s">
        <v>152</v>
      </c>
      <c r="D26">
        <v>3</v>
      </c>
      <c r="E26">
        <v>1510</v>
      </c>
      <c r="F26" s="19">
        <f t="shared" si="11"/>
        <v>9.6688741721854307E-2</v>
      </c>
      <c r="G26">
        <v>146</v>
      </c>
      <c r="H26" s="20">
        <v>191050.75104188372</v>
      </c>
      <c r="I26" s="20">
        <v>110891.27068881014</v>
      </c>
      <c r="J26" s="20">
        <v>764573.74608327472</v>
      </c>
      <c r="K26" s="20">
        <v>421386.82861747849</v>
      </c>
      <c r="L26" s="20">
        <v>0</v>
      </c>
      <c r="M26" s="20">
        <v>89505.059196611037</v>
      </c>
      <c r="N26" s="20">
        <v>59866.796146808359</v>
      </c>
      <c r="O26" s="20">
        <v>170358.53673753876</v>
      </c>
      <c r="P26" s="20">
        <v>0</v>
      </c>
      <c r="Q26" s="20">
        <v>0</v>
      </c>
      <c r="R26" s="20"/>
      <c r="S26" s="20">
        <v>77625.750694703253</v>
      </c>
      <c r="T26" s="20">
        <v>60676.224767295193</v>
      </c>
      <c r="U26" s="20">
        <v>348014.22162449162</v>
      </c>
      <c r="V26" s="20">
        <v>110891.27068881014</v>
      </c>
      <c r="W26" s="20">
        <v>0</v>
      </c>
      <c r="X26" s="20">
        <v>0</v>
      </c>
      <c r="Y26" s="20">
        <v>0</v>
      </c>
      <c r="Z26" s="20">
        <v>0</v>
      </c>
      <c r="AA26" s="20"/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2672479.6236003246</v>
      </c>
      <c r="AP26" s="20">
        <v>2495053.5904982281</v>
      </c>
      <c r="AQ26" s="20">
        <v>2439607.9551538229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/>
      <c r="AX26" s="20">
        <v>0</v>
      </c>
      <c r="AY26" s="20">
        <v>110891.27068881014</v>
      </c>
      <c r="AZ26" s="20">
        <v>388119.44741083548</v>
      </c>
      <c r="BA26" s="20">
        <v>1885151.6017097724</v>
      </c>
      <c r="BB26" s="20">
        <v>100233.47308369415</v>
      </c>
      <c r="BC26" s="20">
        <v>0</v>
      </c>
      <c r="BD26" s="20">
        <v>114084.97559574516</v>
      </c>
      <c r="BE26" s="20">
        <v>554456.35344405065</v>
      </c>
      <c r="BF26" s="20">
        <v>0</v>
      </c>
      <c r="BG26" s="20">
        <v>110891.27068881014</v>
      </c>
      <c r="BH26" s="20">
        <v>0</v>
      </c>
      <c r="BI26" s="20">
        <v>0</v>
      </c>
      <c r="BJ26" s="20">
        <v>0</v>
      </c>
      <c r="BK26" s="20">
        <v>0</v>
      </c>
      <c r="BL26" s="20"/>
      <c r="BM26" s="20">
        <v>0</v>
      </c>
      <c r="BN26" s="20">
        <v>0</v>
      </c>
      <c r="BO26" s="20">
        <v>0</v>
      </c>
      <c r="BP26" s="20">
        <v>36450</v>
      </c>
      <c r="BQ26" s="20">
        <v>114084.97559574516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332673.8120664304</v>
      </c>
      <c r="CL26" s="20"/>
      <c r="CM26" s="20">
        <v>23000</v>
      </c>
      <c r="CN26" s="20">
        <v>5000</v>
      </c>
      <c r="CO26" s="20">
        <v>391452.31999999995</v>
      </c>
      <c r="CP26" s="20">
        <v>100000</v>
      </c>
      <c r="CQ26" s="20">
        <v>0</v>
      </c>
      <c r="CR26" s="20">
        <v>0</v>
      </c>
      <c r="CS26" s="20">
        <v>0</v>
      </c>
      <c r="CT26" s="20">
        <v>0</v>
      </c>
      <c r="CU26" s="20">
        <v>102223.19076433122</v>
      </c>
      <c r="CV26" s="20">
        <v>0</v>
      </c>
      <c r="CW26" s="20"/>
      <c r="CX26" s="20">
        <v>0</v>
      </c>
      <c r="CY26" s="20">
        <v>0</v>
      </c>
      <c r="CZ26" s="20">
        <v>0</v>
      </c>
      <c r="DA26" s="20">
        <v>0</v>
      </c>
      <c r="DB26" s="20">
        <v>151000</v>
      </c>
      <c r="DC26" s="20">
        <v>222543.35777376598</v>
      </c>
      <c r="DD26" s="20">
        <v>969825.32563792914</v>
      </c>
      <c r="DE26" s="20">
        <v>0</v>
      </c>
      <c r="DF26" s="20">
        <v>0</v>
      </c>
      <c r="DG26" s="20">
        <v>16387</v>
      </c>
      <c r="DH26" s="20">
        <v>0</v>
      </c>
      <c r="DI26" s="20"/>
      <c r="DJ26" s="20">
        <v>32174.999655783176</v>
      </c>
      <c r="DK26" s="22">
        <v>0</v>
      </c>
      <c r="DL26" s="20">
        <v>0</v>
      </c>
      <c r="DM26" s="20">
        <v>85000</v>
      </c>
      <c r="DN26" s="20">
        <v>15857624.9996558</v>
      </c>
      <c r="DO26" s="20">
        <f t="shared" si="0"/>
        <v>10462105.789058117</v>
      </c>
      <c r="DP26" s="21">
        <v>337603</v>
      </c>
      <c r="DQ26" s="20">
        <f t="shared" si="1"/>
        <v>0</v>
      </c>
      <c r="DR26" s="20">
        <f t="shared" si="2"/>
        <v>32174.999655783176</v>
      </c>
      <c r="DS26" s="20">
        <f t="shared" si="12"/>
        <v>305428.00034421682</v>
      </c>
      <c r="DT26" s="23">
        <f t="shared" si="13"/>
        <v>0.90469575313079809</v>
      </c>
      <c r="DU26" s="20">
        <f t="shared" si="3"/>
        <v>10858465.961396135</v>
      </c>
      <c r="DV26" s="20">
        <f t="shared" si="4"/>
        <v>2598480.7684888574</v>
      </c>
      <c r="DW26" s="20">
        <f t="shared" si="5"/>
        <v>665347.6241328608</v>
      </c>
      <c r="DX26" s="20">
        <f t="shared" si="6"/>
        <v>36450</v>
      </c>
      <c r="DY26" s="20">
        <f t="shared" si="7"/>
        <v>0</v>
      </c>
      <c r="DZ26" s="20">
        <f t="shared" si="8"/>
        <v>969825.32563792914</v>
      </c>
      <c r="EA26" s="20">
        <f t="shared" si="9"/>
        <v>0</v>
      </c>
      <c r="EB26" s="20">
        <f t="shared" si="10"/>
        <v>391452.31999999995</v>
      </c>
      <c r="EC26" s="20">
        <f t="shared" si="14"/>
        <v>305428.00034421682</v>
      </c>
      <c r="ED26" s="20">
        <f t="shared" si="15"/>
        <v>0</v>
      </c>
      <c r="EE26" s="20">
        <f t="shared" si="15"/>
        <v>32174.999655783176</v>
      </c>
      <c r="EF26" s="20">
        <f t="shared" si="16"/>
        <v>337603</v>
      </c>
      <c r="EG26" s="23">
        <f t="shared" si="17"/>
        <v>0.90469575313079809</v>
      </c>
      <c r="EH26" s="20">
        <f t="shared" si="18"/>
        <v>15857624.999655783</v>
      </c>
    </row>
    <row r="27" spans="1:138" x14ac:dyDescent="0.25">
      <c r="A27" s="18">
        <v>349</v>
      </c>
      <c r="B27" t="s">
        <v>166</v>
      </c>
      <c r="C27" t="s">
        <v>135</v>
      </c>
      <c r="D27">
        <v>4</v>
      </c>
      <c r="E27">
        <v>492</v>
      </c>
      <c r="F27" s="19">
        <f t="shared" si="11"/>
        <v>0.40447154471544716</v>
      </c>
      <c r="G27">
        <v>199</v>
      </c>
      <c r="H27" s="20">
        <v>191050.75104188372</v>
      </c>
      <c r="I27" s="20">
        <v>110891.27068881014</v>
      </c>
      <c r="J27" s="20">
        <v>183497.69905998593</v>
      </c>
      <c r="K27" s="20">
        <v>0</v>
      </c>
      <c r="L27" s="20">
        <v>0</v>
      </c>
      <c r="M27" s="20">
        <v>89505.059196611037</v>
      </c>
      <c r="N27" s="20">
        <v>59866.796146808359</v>
      </c>
      <c r="O27" s="20">
        <v>53797.432653959608</v>
      </c>
      <c r="P27" s="20">
        <v>0</v>
      </c>
      <c r="Q27" s="20">
        <v>0</v>
      </c>
      <c r="R27" s="20"/>
      <c r="S27" s="20">
        <v>77625.750694703253</v>
      </c>
      <c r="T27" s="20">
        <v>60676.224767295193</v>
      </c>
      <c r="U27" s="20">
        <v>99432.634749854755</v>
      </c>
      <c r="V27" s="20">
        <v>110891.27068881014</v>
      </c>
      <c r="W27" s="20">
        <v>110891.27068881014</v>
      </c>
      <c r="X27" s="20">
        <v>110891.27068881014</v>
      </c>
      <c r="Y27" s="20">
        <v>110891.27068881014</v>
      </c>
      <c r="Z27" s="20">
        <v>166336.9060332152</v>
      </c>
      <c r="AA27" s="20"/>
      <c r="AB27" s="20">
        <v>443565.08275524055</v>
      </c>
      <c r="AC27" s="20">
        <v>133644.63077825887</v>
      </c>
      <c r="AD27" s="20">
        <v>0</v>
      </c>
      <c r="AE27" s="20">
        <v>0</v>
      </c>
      <c r="AF27" s="20">
        <v>554456.35344405065</v>
      </c>
      <c r="AG27" s="20">
        <v>167055.78847282359</v>
      </c>
      <c r="AH27" s="20">
        <v>443565.08275524055</v>
      </c>
      <c r="AI27" s="20">
        <v>133644.63077825887</v>
      </c>
      <c r="AJ27" s="20">
        <v>332673.8120664304</v>
      </c>
      <c r="AK27" s="20">
        <v>332673.8120664304</v>
      </c>
      <c r="AL27" s="20">
        <v>332673.8120664304</v>
      </c>
      <c r="AM27" s="20">
        <v>221782.54137762028</v>
      </c>
      <c r="AN27" s="20">
        <v>221782.54137762028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/>
      <c r="AX27" s="20">
        <v>0</v>
      </c>
      <c r="AY27" s="20">
        <v>110891.27068881014</v>
      </c>
      <c r="AZ27" s="20">
        <v>166336.9060332152</v>
      </c>
      <c r="BA27" s="20">
        <v>887130.16551048111</v>
      </c>
      <c r="BB27" s="20">
        <v>200466.94616738829</v>
      </c>
      <c r="BC27" s="20">
        <v>0</v>
      </c>
      <c r="BD27" s="20">
        <v>0</v>
      </c>
      <c r="BE27" s="20">
        <v>1330695.2482657216</v>
      </c>
      <c r="BF27" s="20">
        <v>0</v>
      </c>
      <c r="BG27" s="20">
        <v>221782.54137762028</v>
      </c>
      <c r="BH27" s="20">
        <v>0</v>
      </c>
      <c r="BI27" s="20">
        <v>0</v>
      </c>
      <c r="BJ27" s="20">
        <v>0</v>
      </c>
      <c r="BK27" s="20">
        <v>0</v>
      </c>
      <c r="BL27" s="20"/>
      <c r="BM27" s="20">
        <v>0</v>
      </c>
      <c r="BN27" s="20">
        <v>202859.23</v>
      </c>
      <c r="BO27" s="20">
        <v>3356.08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/>
      <c r="CM27" s="20">
        <v>0</v>
      </c>
      <c r="CN27" s="20">
        <v>0</v>
      </c>
      <c r="CO27" s="20">
        <v>111843.51999999999</v>
      </c>
      <c r="CP27" s="20">
        <v>0</v>
      </c>
      <c r="CQ27" s="20">
        <v>0</v>
      </c>
      <c r="CR27" s="20">
        <v>0</v>
      </c>
      <c r="CS27" s="20">
        <v>3980</v>
      </c>
      <c r="CT27" s="20">
        <v>372600</v>
      </c>
      <c r="CU27" s="20">
        <v>24849.670551181101</v>
      </c>
      <c r="CV27" s="20">
        <v>0</v>
      </c>
      <c r="CW27" s="20"/>
      <c r="CX27" s="20">
        <v>0</v>
      </c>
      <c r="CY27" s="20">
        <v>0</v>
      </c>
      <c r="CZ27" s="20">
        <v>0</v>
      </c>
      <c r="DA27" s="20">
        <v>0</v>
      </c>
      <c r="DB27" s="20">
        <v>49200</v>
      </c>
      <c r="DC27" s="20">
        <v>131113.03505769715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/>
      <c r="DJ27" s="20">
        <v>15399.999803304672</v>
      </c>
      <c r="DK27" s="22">
        <v>0</v>
      </c>
      <c r="DL27" s="20">
        <v>0</v>
      </c>
      <c r="DM27" s="20">
        <v>0</v>
      </c>
      <c r="DN27" s="20">
        <v>8686268.3091821931</v>
      </c>
      <c r="DO27" s="20">
        <f t="shared" si="0"/>
        <v>4821191.7911237963</v>
      </c>
      <c r="DP27" s="21">
        <v>460157</v>
      </c>
      <c r="DQ27" s="20">
        <f t="shared" si="1"/>
        <v>0</v>
      </c>
      <c r="DR27" s="20">
        <f t="shared" si="2"/>
        <v>391979.99980330467</v>
      </c>
      <c r="DS27" s="20">
        <f t="shared" si="12"/>
        <v>68177.000196695328</v>
      </c>
      <c r="DT27" s="23">
        <f t="shared" si="13"/>
        <v>0.14816030223748705</v>
      </c>
      <c r="DU27" s="20">
        <f t="shared" si="3"/>
        <v>4990749.4011389539</v>
      </c>
      <c r="DV27" s="20">
        <f t="shared" si="4"/>
        <v>1364825.2883998947</v>
      </c>
      <c r="DW27" s="20">
        <f t="shared" si="5"/>
        <v>1552477.7896433419</v>
      </c>
      <c r="DX27" s="20">
        <f t="shared" si="6"/>
        <v>206215.31</v>
      </c>
      <c r="DY27" s="20">
        <f t="shared" si="7"/>
        <v>0</v>
      </c>
      <c r="DZ27" s="20">
        <f t="shared" si="8"/>
        <v>0</v>
      </c>
      <c r="EA27" s="20">
        <f t="shared" si="9"/>
        <v>0</v>
      </c>
      <c r="EB27" s="20">
        <f t="shared" si="10"/>
        <v>111843.51999999999</v>
      </c>
      <c r="EC27" s="20">
        <f t="shared" si="14"/>
        <v>68177.000196695328</v>
      </c>
      <c r="ED27" s="20">
        <f t="shared" si="15"/>
        <v>0</v>
      </c>
      <c r="EE27" s="20">
        <f t="shared" si="15"/>
        <v>391979.99980330467</v>
      </c>
      <c r="EF27" s="20">
        <f t="shared" si="16"/>
        <v>460157</v>
      </c>
      <c r="EG27" s="23">
        <f t="shared" si="17"/>
        <v>0.14816030223748705</v>
      </c>
      <c r="EH27" s="20">
        <f t="shared" si="18"/>
        <v>8686268.3091821894</v>
      </c>
    </row>
    <row r="28" spans="1:138" x14ac:dyDescent="0.25">
      <c r="A28" s="18">
        <v>231</v>
      </c>
      <c r="B28" t="s">
        <v>167</v>
      </c>
      <c r="C28" t="s">
        <v>135</v>
      </c>
      <c r="D28">
        <v>7</v>
      </c>
      <c r="E28">
        <v>229</v>
      </c>
      <c r="F28" s="19">
        <f t="shared" si="11"/>
        <v>0.72052401746724892</v>
      </c>
      <c r="G28">
        <v>165</v>
      </c>
      <c r="H28" s="20">
        <v>191050.75104188372</v>
      </c>
      <c r="I28" s="20">
        <v>110891.27068881014</v>
      </c>
      <c r="J28" s="20">
        <v>0</v>
      </c>
      <c r="K28" s="20">
        <v>0</v>
      </c>
      <c r="L28" s="20">
        <v>0</v>
      </c>
      <c r="M28" s="20">
        <v>44752.529598305518</v>
      </c>
      <c r="N28" s="20">
        <v>59866.796146808359</v>
      </c>
      <c r="O28" s="20">
        <v>0</v>
      </c>
      <c r="P28" s="20">
        <v>0</v>
      </c>
      <c r="Q28" s="20">
        <v>0</v>
      </c>
      <c r="R28" s="20"/>
      <c r="S28" s="20">
        <v>77625.750694703253</v>
      </c>
      <c r="T28" s="20">
        <v>60676.224767295193</v>
      </c>
      <c r="U28" s="20">
        <v>49716.317374927377</v>
      </c>
      <c r="V28" s="20">
        <v>55445.635344405069</v>
      </c>
      <c r="W28" s="20">
        <v>110891.27068881014</v>
      </c>
      <c r="X28" s="20">
        <v>110891.27068881014</v>
      </c>
      <c r="Y28" s="20">
        <v>110891.27068881014</v>
      </c>
      <c r="Z28" s="20">
        <v>0</v>
      </c>
      <c r="AA28" s="20"/>
      <c r="AB28" s="20">
        <v>110891.27068881014</v>
      </c>
      <c r="AC28" s="20">
        <v>33411.157694564718</v>
      </c>
      <c r="AD28" s="20">
        <v>110891.27068881014</v>
      </c>
      <c r="AE28" s="20">
        <v>33411.157694564718</v>
      </c>
      <c r="AF28" s="20">
        <v>110891.27068881014</v>
      </c>
      <c r="AG28" s="20">
        <v>33411.157694564718</v>
      </c>
      <c r="AH28" s="20">
        <v>221782.54137762028</v>
      </c>
      <c r="AI28" s="20">
        <v>66822.315389129435</v>
      </c>
      <c r="AJ28" s="20">
        <v>221782.54137762028</v>
      </c>
      <c r="AK28" s="20">
        <v>221782.54137762028</v>
      </c>
      <c r="AL28" s="20">
        <v>221782.54137762028</v>
      </c>
      <c r="AM28" s="20">
        <v>110891.27068881014</v>
      </c>
      <c r="AN28" s="20">
        <v>110891.27068881014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/>
      <c r="AX28" s="20">
        <v>0</v>
      </c>
      <c r="AY28" s="20">
        <v>110891.27068881014</v>
      </c>
      <c r="AZ28" s="20">
        <v>55445.635344405069</v>
      </c>
      <c r="BA28" s="20">
        <v>554456.35344405065</v>
      </c>
      <c r="BB28" s="20">
        <v>66822.315389129435</v>
      </c>
      <c r="BC28" s="20">
        <v>0</v>
      </c>
      <c r="BD28" s="20">
        <v>0</v>
      </c>
      <c r="BE28" s="20">
        <v>55445.635344405069</v>
      </c>
      <c r="BF28" s="20">
        <v>0</v>
      </c>
      <c r="BG28" s="20">
        <v>0</v>
      </c>
      <c r="BH28" s="21">
        <f>28640-14320</f>
        <v>14320</v>
      </c>
      <c r="BI28" s="21">
        <f>28640-14320</f>
        <v>14320</v>
      </c>
      <c r="BJ28" s="20">
        <v>10740</v>
      </c>
      <c r="BK28" s="20">
        <v>0</v>
      </c>
      <c r="BL28" s="20"/>
      <c r="BM28" s="20">
        <v>28640</v>
      </c>
      <c r="BN28" s="20">
        <v>99724.91</v>
      </c>
      <c r="BO28" s="20">
        <v>1649.84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/>
      <c r="CM28" s="20">
        <v>0</v>
      </c>
      <c r="CN28" s="20">
        <v>0</v>
      </c>
      <c r="CO28" s="20">
        <v>55921.759999999995</v>
      </c>
      <c r="CP28" s="20">
        <v>0</v>
      </c>
      <c r="CQ28" s="20">
        <v>0</v>
      </c>
      <c r="CR28" s="20">
        <v>0</v>
      </c>
      <c r="CS28" s="20">
        <v>3300</v>
      </c>
      <c r="CT28" s="20">
        <v>120960</v>
      </c>
      <c r="CU28" s="20">
        <v>13946.075000000001</v>
      </c>
      <c r="CV28" s="20">
        <v>0</v>
      </c>
      <c r="CW28" s="20"/>
      <c r="CX28" s="20">
        <v>0</v>
      </c>
      <c r="CY28" s="20">
        <v>0</v>
      </c>
      <c r="CZ28" s="20">
        <v>0</v>
      </c>
      <c r="DA28" s="20">
        <v>0</v>
      </c>
      <c r="DB28" s="20">
        <v>22900</v>
      </c>
      <c r="DC28" s="20">
        <v>57241.337946323772</v>
      </c>
      <c r="DD28" s="20">
        <v>0</v>
      </c>
      <c r="DE28" s="20">
        <v>0</v>
      </c>
      <c r="DF28" s="20">
        <v>13859</v>
      </c>
      <c r="DG28" s="20">
        <v>0</v>
      </c>
      <c r="DH28" s="20">
        <v>0</v>
      </c>
      <c r="DI28" s="20"/>
      <c r="DJ28" s="20">
        <v>17224.999617412686</v>
      </c>
      <c r="DK28" s="22">
        <v>0</v>
      </c>
      <c r="DL28" s="20">
        <v>0</v>
      </c>
      <c r="DM28" s="20">
        <v>125000</v>
      </c>
      <c r="DN28" s="20">
        <v>4034150.5279254601</v>
      </c>
      <c r="DO28" s="20">
        <f t="shared" si="0"/>
        <v>2497410.515260322</v>
      </c>
      <c r="DP28" s="21">
        <v>381537</v>
      </c>
      <c r="DQ28" s="20">
        <f t="shared" si="1"/>
        <v>39380</v>
      </c>
      <c r="DR28" s="20">
        <f t="shared" si="2"/>
        <v>141484.99961741269</v>
      </c>
      <c r="DS28" s="20">
        <f t="shared" si="12"/>
        <v>200672.00038258731</v>
      </c>
      <c r="DT28" s="23">
        <f t="shared" si="13"/>
        <v>0.52595685446650609</v>
      </c>
      <c r="DU28" s="20">
        <f t="shared" si="3"/>
        <v>2623615.8077146602</v>
      </c>
      <c r="DV28" s="20">
        <f t="shared" si="4"/>
        <v>787615.57486639533</v>
      </c>
      <c r="DW28" s="20">
        <f t="shared" si="5"/>
        <v>55445.635344405069</v>
      </c>
      <c r="DX28" s="20">
        <f t="shared" si="6"/>
        <v>130014.75</v>
      </c>
      <c r="DY28" s="20">
        <f t="shared" si="7"/>
        <v>0</v>
      </c>
      <c r="DZ28" s="20">
        <f t="shared" si="8"/>
        <v>0</v>
      </c>
      <c r="EA28" s="20">
        <f t="shared" si="9"/>
        <v>0</v>
      </c>
      <c r="EB28" s="20">
        <f t="shared" si="10"/>
        <v>55921.759999999995</v>
      </c>
      <c r="EC28" s="20">
        <f t="shared" si="14"/>
        <v>200672.00038258731</v>
      </c>
      <c r="ED28" s="20">
        <f t="shared" si="15"/>
        <v>39380</v>
      </c>
      <c r="EE28" s="20">
        <f t="shared" si="15"/>
        <v>141484.99961741269</v>
      </c>
      <c r="EF28" s="20">
        <f t="shared" si="16"/>
        <v>381537</v>
      </c>
      <c r="EG28" s="23">
        <f t="shared" si="17"/>
        <v>0.52595685446650609</v>
      </c>
      <c r="EH28" s="20">
        <f t="shared" si="18"/>
        <v>4034150.5279254606</v>
      </c>
    </row>
    <row r="29" spans="1:138" x14ac:dyDescent="0.25">
      <c r="A29" s="18">
        <v>467</v>
      </c>
      <c r="B29" t="s">
        <v>168</v>
      </c>
      <c r="C29" t="s">
        <v>138</v>
      </c>
      <c r="D29">
        <v>5</v>
      </c>
      <c r="E29">
        <v>646</v>
      </c>
      <c r="F29" s="19">
        <f t="shared" si="11"/>
        <v>0.84520123839009287</v>
      </c>
      <c r="G29">
        <v>546</v>
      </c>
      <c r="H29" s="20">
        <v>191050.75104188372</v>
      </c>
      <c r="I29" s="20">
        <v>110891.27068881014</v>
      </c>
      <c r="J29" s="20">
        <v>336412.44827664091</v>
      </c>
      <c r="K29" s="20">
        <v>0</v>
      </c>
      <c r="L29" s="20">
        <v>374276.58262664371</v>
      </c>
      <c r="M29" s="20">
        <v>89505.059196611037</v>
      </c>
      <c r="N29" s="20">
        <v>59866.796146808359</v>
      </c>
      <c r="O29" s="20">
        <v>71729.910205279477</v>
      </c>
      <c r="P29" s="20">
        <v>49534.351124581444</v>
      </c>
      <c r="Q29" s="20">
        <v>69924.031375330247</v>
      </c>
      <c r="R29" s="20"/>
      <c r="S29" s="20">
        <v>77625.750694703253</v>
      </c>
      <c r="T29" s="20">
        <v>60676.224767295193</v>
      </c>
      <c r="U29" s="20">
        <v>447446.85637434642</v>
      </c>
      <c r="V29" s="20">
        <v>110891.27068881014</v>
      </c>
      <c r="W29" s="20">
        <v>0</v>
      </c>
      <c r="X29" s="20">
        <v>0</v>
      </c>
      <c r="Y29" s="20">
        <v>0</v>
      </c>
      <c r="Z29" s="20">
        <v>0</v>
      </c>
      <c r="AA29" s="20"/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f t="shared" ref="AW29:AW30" si="19">E29/24*AW$120</f>
        <v>2984823.3693738063</v>
      </c>
      <c r="AX29" s="20">
        <f>3802001.16892504-AW29</f>
        <v>817177.79955123365</v>
      </c>
      <c r="AY29" s="20">
        <v>110891.27068881014</v>
      </c>
      <c r="AZ29" s="20">
        <v>332673.8120664304</v>
      </c>
      <c r="BA29" s="20">
        <v>1441586.5189545318</v>
      </c>
      <c r="BB29" s="20">
        <v>167055.78847282359</v>
      </c>
      <c r="BC29" s="20">
        <v>48327.936512970991</v>
      </c>
      <c r="BD29" s="20">
        <v>0</v>
      </c>
      <c r="BE29" s="20">
        <v>110891.27068881014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70000</v>
      </c>
      <c r="BL29" s="20"/>
      <c r="BM29" s="20">
        <v>0</v>
      </c>
      <c r="BN29" s="20">
        <v>276161.3</v>
      </c>
      <c r="BO29" s="20">
        <v>4568.78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152914.74921665495</v>
      </c>
      <c r="BX29" s="20">
        <v>6199.7800000000007</v>
      </c>
      <c r="BY29" s="20">
        <v>29000</v>
      </c>
      <c r="BZ29" s="20">
        <v>0</v>
      </c>
      <c r="CA29" s="20">
        <v>45000</v>
      </c>
      <c r="CB29" s="20">
        <v>0</v>
      </c>
      <c r="CC29" s="20">
        <v>0</v>
      </c>
      <c r="CD29" s="20">
        <v>44000</v>
      </c>
      <c r="CE29" s="20">
        <v>221782.54137762028</v>
      </c>
      <c r="CF29" s="20">
        <v>0</v>
      </c>
      <c r="CG29" s="20">
        <v>140126.11598983698</v>
      </c>
      <c r="CH29" s="20">
        <v>114084.97559574516</v>
      </c>
      <c r="CI29" s="20">
        <v>0</v>
      </c>
      <c r="CJ29" s="20">
        <v>110891.27068881014</v>
      </c>
      <c r="CK29" s="20">
        <v>0</v>
      </c>
      <c r="CL29" s="20"/>
      <c r="CM29" s="20">
        <v>0</v>
      </c>
      <c r="CN29" s="20">
        <v>0</v>
      </c>
      <c r="CO29" s="20">
        <v>488091.83999999997</v>
      </c>
      <c r="CP29" s="20">
        <v>0</v>
      </c>
      <c r="CQ29" s="20">
        <v>114084.97559574516</v>
      </c>
      <c r="CR29" s="20">
        <v>0</v>
      </c>
      <c r="CS29" s="20">
        <v>21840</v>
      </c>
      <c r="CT29" s="20">
        <v>0</v>
      </c>
      <c r="CU29" s="20">
        <v>90166.698378854635</v>
      </c>
      <c r="CV29" s="20">
        <v>114084.97559574516</v>
      </c>
      <c r="CW29" s="20"/>
      <c r="CX29" s="20">
        <v>0</v>
      </c>
      <c r="CY29" s="20">
        <v>0</v>
      </c>
      <c r="CZ29" s="20">
        <v>5000</v>
      </c>
      <c r="DA29" s="20">
        <v>113945.66</v>
      </c>
      <c r="DB29" s="20">
        <v>64600</v>
      </c>
      <c r="DC29" s="20">
        <v>133442.82609149918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/>
      <c r="DJ29" s="20">
        <v>52125.000016763806</v>
      </c>
      <c r="DK29" s="22">
        <v>0</v>
      </c>
      <c r="DL29" s="20">
        <v>121537.10783344973</v>
      </c>
      <c r="DM29" s="20">
        <v>0</v>
      </c>
      <c r="DN29" s="20">
        <v>10596907.325897887</v>
      </c>
      <c r="DO29" s="20">
        <f t="shared" si="0"/>
        <v>5072982.8821889237</v>
      </c>
      <c r="DP29" s="21">
        <v>1262542</v>
      </c>
      <c r="DQ29" s="20">
        <f t="shared" si="1"/>
        <v>70000</v>
      </c>
      <c r="DR29" s="20">
        <f t="shared" si="2"/>
        <v>1491553.3959659799</v>
      </c>
      <c r="DS29" s="20">
        <f t="shared" si="12"/>
        <v>-299011.3959659799</v>
      </c>
      <c r="DT29" s="23">
        <f t="shared" si="13"/>
        <v>-0.23683283088085774</v>
      </c>
      <c r="DU29" s="20">
        <f t="shared" si="3"/>
        <v>6187580.0406800602</v>
      </c>
      <c r="DV29" s="20">
        <f t="shared" si="4"/>
        <v>2100535.326695567</v>
      </c>
      <c r="DW29" s="20">
        <f t="shared" si="5"/>
        <v>110891.27068881014</v>
      </c>
      <c r="DX29" s="20">
        <f t="shared" si="6"/>
        <v>325730.08</v>
      </c>
      <c r="DY29" s="20">
        <f t="shared" si="7"/>
        <v>0</v>
      </c>
      <c r="DZ29" s="20">
        <f t="shared" si="8"/>
        <v>0</v>
      </c>
      <c r="EA29" s="20">
        <f t="shared" si="9"/>
        <v>121537.10783344973</v>
      </c>
      <c r="EB29" s="20">
        <f t="shared" si="10"/>
        <v>488091.83999999997</v>
      </c>
      <c r="EC29" s="20">
        <f t="shared" si="14"/>
        <v>-299011.3959659799</v>
      </c>
      <c r="ED29" s="20">
        <f t="shared" si="15"/>
        <v>70000</v>
      </c>
      <c r="EE29" s="20">
        <f t="shared" si="15"/>
        <v>1491553.3959659799</v>
      </c>
      <c r="EF29" s="20">
        <f t="shared" si="16"/>
        <v>1262542</v>
      </c>
      <c r="EG29" s="23">
        <f t="shared" si="17"/>
        <v>-0.23683283088085774</v>
      </c>
      <c r="EH29" s="20">
        <f t="shared" si="18"/>
        <v>10596907.665897887</v>
      </c>
    </row>
    <row r="30" spans="1:138" x14ac:dyDescent="0.25">
      <c r="A30" s="18">
        <v>457</v>
      </c>
      <c r="B30" t="s">
        <v>169</v>
      </c>
      <c r="C30" t="s">
        <v>138</v>
      </c>
      <c r="D30">
        <v>6</v>
      </c>
      <c r="E30">
        <v>802</v>
      </c>
      <c r="F30" s="19">
        <f t="shared" si="11"/>
        <v>0.67206982543640903</v>
      </c>
      <c r="G30">
        <v>539</v>
      </c>
      <c r="H30" s="20">
        <v>191050.75104188372</v>
      </c>
      <c r="I30" s="20">
        <v>110891.27068881014</v>
      </c>
      <c r="J30" s="20">
        <v>412869.82288496837</v>
      </c>
      <c r="K30" s="20">
        <v>0</v>
      </c>
      <c r="L30" s="20">
        <v>436656.01306441764</v>
      </c>
      <c r="M30" s="20">
        <v>89505.059196611037</v>
      </c>
      <c r="N30" s="20">
        <v>59866.796146808359</v>
      </c>
      <c r="O30" s="20">
        <v>89662.387756599346</v>
      </c>
      <c r="P30" s="20">
        <v>49534.351124581444</v>
      </c>
      <c r="Q30" s="20">
        <v>69924.031375330247</v>
      </c>
      <c r="R30" s="20"/>
      <c r="S30" s="20">
        <v>77625.750694703253</v>
      </c>
      <c r="T30" s="20">
        <v>60676.224767295193</v>
      </c>
      <c r="U30" s="20">
        <v>397730.53899941902</v>
      </c>
      <c r="V30" s="20">
        <v>110891.27068881014</v>
      </c>
      <c r="W30" s="20">
        <v>0</v>
      </c>
      <c r="X30" s="20">
        <v>0</v>
      </c>
      <c r="Y30" s="20">
        <v>0</v>
      </c>
      <c r="Z30" s="20">
        <v>0</v>
      </c>
      <c r="AA30" s="20"/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f t="shared" si="19"/>
        <v>3705616.6288510719</v>
      </c>
      <c r="AX30" s="20">
        <f>4389395.12345197-AW30</f>
        <v>683778.49460089765</v>
      </c>
      <c r="AY30" s="20">
        <v>166336.9060332152</v>
      </c>
      <c r="AZ30" s="20">
        <v>554456.35344405065</v>
      </c>
      <c r="BA30" s="20">
        <v>2328716.684465013</v>
      </c>
      <c r="BB30" s="20">
        <v>334111.57694564719</v>
      </c>
      <c r="BC30" s="20">
        <v>48327.936512970991</v>
      </c>
      <c r="BD30" s="20">
        <v>0</v>
      </c>
      <c r="BE30" s="20">
        <v>221782.54137762028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65000</v>
      </c>
      <c r="BL30" s="20"/>
      <c r="BM30" s="20">
        <v>0</v>
      </c>
      <c r="BN30" s="20">
        <v>337530.48</v>
      </c>
      <c r="BO30" s="20">
        <v>5584.07</v>
      </c>
      <c r="BP30" s="20">
        <v>0</v>
      </c>
      <c r="BQ30" s="20">
        <v>114084.97559574516</v>
      </c>
      <c r="BR30" s="20">
        <v>0</v>
      </c>
      <c r="BS30" s="20">
        <v>0</v>
      </c>
      <c r="BT30" s="20">
        <v>110891.27068881014</v>
      </c>
      <c r="BU30" s="20">
        <v>0</v>
      </c>
      <c r="BV30" s="20">
        <v>0</v>
      </c>
      <c r="BW30" s="20">
        <v>152914.74921665495</v>
      </c>
      <c r="BX30" s="20">
        <v>26199.78</v>
      </c>
      <c r="BY30" s="20">
        <v>19000</v>
      </c>
      <c r="BZ30" s="20">
        <v>0</v>
      </c>
      <c r="CA30" s="20">
        <v>26143.25</v>
      </c>
      <c r="CB30" s="20">
        <v>0</v>
      </c>
      <c r="CC30" s="20">
        <v>114084.97559574516</v>
      </c>
      <c r="CD30" s="20">
        <v>44000</v>
      </c>
      <c r="CE30" s="20">
        <v>221782.54137762028</v>
      </c>
      <c r="CF30" s="20">
        <v>0</v>
      </c>
      <c r="CG30" s="20">
        <v>140126.11598983698</v>
      </c>
      <c r="CH30" s="20">
        <v>0</v>
      </c>
      <c r="CI30" s="20">
        <v>0</v>
      </c>
      <c r="CJ30" s="20">
        <v>0</v>
      </c>
      <c r="CK30" s="20">
        <v>0</v>
      </c>
      <c r="CL30" s="20"/>
      <c r="CM30" s="20">
        <v>0</v>
      </c>
      <c r="CN30" s="20">
        <v>0</v>
      </c>
      <c r="CO30" s="20">
        <v>488091.83999999997</v>
      </c>
      <c r="CP30" s="20">
        <v>0</v>
      </c>
      <c r="CQ30" s="20">
        <v>114084.97559574516</v>
      </c>
      <c r="CR30" s="20">
        <v>0</v>
      </c>
      <c r="CS30" s="20">
        <v>10780</v>
      </c>
      <c r="CT30" s="20">
        <v>0</v>
      </c>
      <c r="CU30" s="20">
        <v>109140.56994545454</v>
      </c>
      <c r="CV30" s="20">
        <v>114084.97559574516</v>
      </c>
      <c r="CW30" s="20"/>
      <c r="CX30" s="20">
        <v>0</v>
      </c>
      <c r="CY30" s="20">
        <v>0</v>
      </c>
      <c r="CZ30" s="20">
        <v>0</v>
      </c>
      <c r="DA30" s="20">
        <v>0</v>
      </c>
      <c r="DB30" s="20">
        <v>80200</v>
      </c>
      <c r="DC30" s="20">
        <v>171515.83716900193</v>
      </c>
      <c r="DD30" s="20">
        <v>0</v>
      </c>
      <c r="DE30" s="20">
        <v>0</v>
      </c>
      <c r="DF30" s="20">
        <v>0</v>
      </c>
      <c r="DG30" s="20">
        <v>34720</v>
      </c>
      <c r="DH30" s="20">
        <v>0</v>
      </c>
      <c r="DI30" s="20"/>
      <c r="DJ30" s="20">
        <v>22425</v>
      </c>
      <c r="DK30" s="22">
        <v>0</v>
      </c>
      <c r="DL30" s="20">
        <v>0</v>
      </c>
      <c r="DM30" s="20">
        <v>0</v>
      </c>
      <c r="DN30" s="20">
        <v>12722396.797431083</v>
      </c>
      <c r="DO30" s="20">
        <f t="shared" si="0"/>
        <v>6023192.3069077143</v>
      </c>
      <c r="DP30" s="21">
        <v>1246355</v>
      </c>
      <c r="DQ30" s="20">
        <f t="shared" si="1"/>
        <v>65000</v>
      </c>
      <c r="DR30" s="20">
        <f t="shared" si="2"/>
        <v>1438285.36168769</v>
      </c>
      <c r="DS30" s="20">
        <f t="shared" si="12"/>
        <v>-256930.36168769002</v>
      </c>
      <c r="DT30" s="23">
        <f t="shared" si="13"/>
        <v>-0.20614540936385703</v>
      </c>
      <c r="DU30" s="20">
        <f t="shared" si="3"/>
        <v>6964960.1586525664</v>
      </c>
      <c r="DV30" s="20">
        <f t="shared" si="4"/>
        <v>3431949.4574008966</v>
      </c>
      <c r="DW30" s="20">
        <f t="shared" si="5"/>
        <v>221782.54137762028</v>
      </c>
      <c r="DX30" s="20">
        <f t="shared" si="6"/>
        <v>369257.8</v>
      </c>
      <c r="DY30" s="20">
        <f t="shared" si="7"/>
        <v>0</v>
      </c>
      <c r="DZ30" s="20">
        <f t="shared" si="8"/>
        <v>0</v>
      </c>
      <c r="EA30" s="20">
        <f t="shared" si="9"/>
        <v>0</v>
      </c>
      <c r="EB30" s="20">
        <f t="shared" si="10"/>
        <v>488091.83999999997</v>
      </c>
      <c r="EC30" s="20">
        <f t="shared" si="14"/>
        <v>-256930.36168769002</v>
      </c>
      <c r="ED30" s="20">
        <f t="shared" si="15"/>
        <v>65000</v>
      </c>
      <c r="EE30" s="20">
        <f t="shared" si="15"/>
        <v>1438285.36168769</v>
      </c>
      <c r="EF30" s="20">
        <f t="shared" si="16"/>
        <v>1246355</v>
      </c>
      <c r="EG30" s="23">
        <f t="shared" si="17"/>
        <v>-0.20614540936385703</v>
      </c>
      <c r="EH30" s="20">
        <f t="shared" si="18"/>
        <v>12722396.797431083</v>
      </c>
    </row>
    <row r="31" spans="1:138" x14ac:dyDescent="0.25">
      <c r="A31" s="18">
        <v>232</v>
      </c>
      <c r="B31" t="s">
        <v>170</v>
      </c>
      <c r="C31" t="s">
        <v>135</v>
      </c>
      <c r="D31">
        <v>3</v>
      </c>
      <c r="E31">
        <v>464</v>
      </c>
      <c r="F31" s="19">
        <f t="shared" si="11"/>
        <v>3.8793103448275863E-2</v>
      </c>
      <c r="G31">
        <v>18</v>
      </c>
      <c r="H31" s="20">
        <v>191050.75104188372</v>
      </c>
      <c r="I31" s="20">
        <v>110891.27068881014</v>
      </c>
      <c r="J31" s="20">
        <v>183497.69905998593</v>
      </c>
      <c r="K31" s="20">
        <v>0</v>
      </c>
      <c r="L31" s="20">
        <v>0</v>
      </c>
      <c r="M31" s="20">
        <v>89505.059196611037</v>
      </c>
      <c r="N31" s="20">
        <v>59866.796146808359</v>
      </c>
      <c r="O31" s="20">
        <v>53797.432653959608</v>
      </c>
      <c r="P31" s="20">
        <v>0</v>
      </c>
      <c r="Q31" s="20">
        <v>0</v>
      </c>
      <c r="R31" s="20"/>
      <c r="S31" s="20">
        <v>77625.750694703253</v>
      </c>
      <c r="T31" s="20">
        <v>60676.224767295193</v>
      </c>
      <c r="U31" s="20">
        <v>99432.634749854755</v>
      </c>
      <c r="V31" s="20">
        <v>110891.27068881014</v>
      </c>
      <c r="W31" s="20">
        <v>110891.27068881014</v>
      </c>
      <c r="X31" s="20">
        <v>110891.27068881014</v>
      </c>
      <c r="Y31" s="20">
        <v>110891.27068881014</v>
      </c>
      <c r="Z31" s="20">
        <v>166336.9060332152</v>
      </c>
      <c r="AA31" s="20"/>
      <c r="AB31" s="20">
        <v>0</v>
      </c>
      <c r="AC31" s="20">
        <v>0</v>
      </c>
      <c r="AD31" s="20">
        <v>0</v>
      </c>
      <c r="AE31" s="20">
        <v>0</v>
      </c>
      <c r="AF31" s="20">
        <v>221782.54137762028</v>
      </c>
      <c r="AG31" s="20">
        <v>66822.315389129435</v>
      </c>
      <c r="AH31" s="20">
        <v>332673.8120664304</v>
      </c>
      <c r="AI31" s="20">
        <v>100233.47308369415</v>
      </c>
      <c r="AJ31" s="20">
        <v>332673.8120664304</v>
      </c>
      <c r="AK31" s="20">
        <v>332673.8120664304</v>
      </c>
      <c r="AL31" s="20">
        <v>332673.8120664304</v>
      </c>
      <c r="AM31" s="20">
        <v>443565.08275524055</v>
      </c>
      <c r="AN31" s="20">
        <v>332673.8120664304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/>
      <c r="AX31" s="20">
        <v>0</v>
      </c>
      <c r="AY31" s="20">
        <v>55445.635344405069</v>
      </c>
      <c r="AZ31" s="20">
        <v>110891.27068881014</v>
      </c>
      <c r="BA31" s="20">
        <v>443565.08275524055</v>
      </c>
      <c r="BB31" s="20">
        <v>33411.157694564718</v>
      </c>
      <c r="BC31" s="20">
        <v>0</v>
      </c>
      <c r="BD31" s="20">
        <v>0</v>
      </c>
      <c r="BE31" s="20">
        <v>332673.8120664304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/>
      <c r="BM31" s="20">
        <v>0</v>
      </c>
      <c r="BN31" s="20">
        <v>0</v>
      </c>
      <c r="BO31" s="20">
        <v>0</v>
      </c>
      <c r="BP31" s="20">
        <v>11675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/>
      <c r="CM31" s="20">
        <v>0</v>
      </c>
      <c r="CN31" s="20">
        <v>0</v>
      </c>
      <c r="CO31" s="20">
        <v>167765.28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24498.651428571429</v>
      </c>
      <c r="CV31" s="20">
        <v>0</v>
      </c>
      <c r="CW31" s="20"/>
      <c r="CX31" s="20">
        <v>0</v>
      </c>
      <c r="CY31" s="20">
        <v>0</v>
      </c>
      <c r="CZ31" s="20">
        <v>0</v>
      </c>
      <c r="DA31" s="20">
        <v>0</v>
      </c>
      <c r="DB31" s="20">
        <v>46400</v>
      </c>
      <c r="DC31" s="20">
        <v>80628.881132338036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/>
      <c r="DJ31" s="20">
        <v>3149.9999338295311</v>
      </c>
      <c r="DK31" s="22">
        <v>0</v>
      </c>
      <c r="DL31" s="20">
        <v>0</v>
      </c>
      <c r="DM31" s="20">
        <v>0</v>
      </c>
      <c r="DN31" s="20">
        <v>5342122.8517703936</v>
      </c>
      <c r="DO31" s="20">
        <f t="shared" si="0"/>
        <v>3945811.0030752602</v>
      </c>
      <c r="DP31" s="21">
        <v>41622</v>
      </c>
      <c r="DQ31" s="20">
        <f t="shared" si="1"/>
        <v>0</v>
      </c>
      <c r="DR31" s="20">
        <f t="shared" si="2"/>
        <v>3149.9999338295311</v>
      </c>
      <c r="DS31" s="20">
        <f t="shared" si="12"/>
        <v>38472.000066170469</v>
      </c>
      <c r="DT31" s="23">
        <f t="shared" si="13"/>
        <v>0.92431887141825164</v>
      </c>
      <c r="DU31" s="20">
        <f t="shared" si="3"/>
        <v>4145073.6132209422</v>
      </c>
      <c r="DV31" s="20">
        <f t="shared" si="4"/>
        <v>643313.14648302039</v>
      </c>
      <c r="DW31" s="20">
        <f t="shared" si="5"/>
        <v>332673.8120664304</v>
      </c>
      <c r="DX31" s="20">
        <f t="shared" si="6"/>
        <v>11675</v>
      </c>
      <c r="DY31" s="20">
        <f t="shared" si="7"/>
        <v>0</v>
      </c>
      <c r="DZ31" s="20">
        <f t="shared" si="8"/>
        <v>0</v>
      </c>
      <c r="EA31" s="20">
        <f t="shared" si="9"/>
        <v>0</v>
      </c>
      <c r="EB31" s="20">
        <f t="shared" si="10"/>
        <v>167765.28</v>
      </c>
      <c r="EC31" s="20">
        <f t="shared" si="14"/>
        <v>38472.000066170469</v>
      </c>
      <c r="ED31" s="20">
        <f t="shared" si="15"/>
        <v>0</v>
      </c>
      <c r="EE31" s="20">
        <f t="shared" si="15"/>
        <v>3149.9999338295311</v>
      </c>
      <c r="EF31" s="20">
        <f t="shared" si="16"/>
        <v>41622</v>
      </c>
      <c r="EG31" s="23">
        <f t="shared" si="17"/>
        <v>0.92431887141825164</v>
      </c>
      <c r="EH31" s="20">
        <f t="shared" si="18"/>
        <v>5342122.8517703926</v>
      </c>
    </row>
    <row r="32" spans="1:138" x14ac:dyDescent="0.25">
      <c r="A32" s="18">
        <v>407</v>
      </c>
      <c r="B32" t="s">
        <v>171</v>
      </c>
      <c r="C32" t="s">
        <v>152</v>
      </c>
      <c r="D32">
        <v>6</v>
      </c>
      <c r="E32">
        <v>289</v>
      </c>
      <c r="F32" s="19">
        <f t="shared" si="11"/>
        <v>0.61245674740484424</v>
      </c>
      <c r="G32">
        <v>177</v>
      </c>
      <c r="H32" s="20">
        <v>191050.75104188372</v>
      </c>
      <c r="I32" s="20">
        <v>110891.27068881014</v>
      </c>
      <c r="J32" s="20">
        <v>152914.74921665495</v>
      </c>
      <c r="K32" s="20">
        <v>110891.27068881014</v>
      </c>
      <c r="L32" s="20">
        <v>0</v>
      </c>
      <c r="M32" s="20">
        <v>44752.529598305518</v>
      </c>
      <c r="N32" s="20">
        <v>59866.796146808359</v>
      </c>
      <c r="O32" s="20">
        <v>0</v>
      </c>
      <c r="P32" s="20">
        <v>0</v>
      </c>
      <c r="Q32" s="20">
        <v>0</v>
      </c>
      <c r="R32" s="20"/>
      <c r="S32" s="20">
        <v>77625.750694703253</v>
      </c>
      <c r="T32" s="20">
        <v>60676.224767295193</v>
      </c>
      <c r="U32" s="20">
        <v>149148.95212478214</v>
      </c>
      <c r="V32" s="20">
        <v>55445.635344405069</v>
      </c>
      <c r="W32" s="20">
        <v>0</v>
      </c>
      <c r="X32" s="20">
        <v>0</v>
      </c>
      <c r="Y32" s="20">
        <v>0</v>
      </c>
      <c r="Z32" s="20">
        <v>0</v>
      </c>
      <c r="AA32" s="20"/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510099.84516852658</v>
      </c>
      <c r="AP32" s="20">
        <v>476832.46396188356</v>
      </c>
      <c r="AQ32" s="20">
        <v>476832.46396188356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/>
      <c r="AX32" s="20">
        <v>0</v>
      </c>
      <c r="AY32" s="20">
        <v>55445.635344405069</v>
      </c>
      <c r="AZ32" s="20">
        <v>221782.54137762028</v>
      </c>
      <c r="BA32" s="20">
        <v>998021.43619929126</v>
      </c>
      <c r="BB32" s="20">
        <v>167055.78847282359</v>
      </c>
      <c r="BC32" s="20">
        <v>48327.936512970991</v>
      </c>
      <c r="BD32" s="20">
        <v>0</v>
      </c>
      <c r="BE32" s="20">
        <v>25202.561520184121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/>
      <c r="BM32" s="20">
        <v>0</v>
      </c>
      <c r="BN32" s="20">
        <v>111231.64</v>
      </c>
      <c r="BO32" s="20">
        <v>1840.2</v>
      </c>
      <c r="BP32" s="20">
        <v>0</v>
      </c>
      <c r="BQ32" s="20">
        <v>114084.97559574516</v>
      </c>
      <c r="BR32" s="20">
        <v>0</v>
      </c>
      <c r="BS32" s="20">
        <v>152914.74921665495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f>332673.81206643-CL32</f>
        <v>221782.54137761984</v>
      </c>
      <c r="CL32" s="20">
        <v>110891.27068881014</v>
      </c>
      <c r="CM32" s="20">
        <v>23000</v>
      </c>
      <c r="CN32" s="20">
        <v>5000</v>
      </c>
      <c r="CO32" s="20">
        <v>299967.68</v>
      </c>
      <c r="CP32" s="20">
        <v>100000</v>
      </c>
      <c r="CQ32" s="20">
        <v>0</v>
      </c>
      <c r="CR32" s="20">
        <v>0</v>
      </c>
      <c r="CS32" s="20">
        <v>3540</v>
      </c>
      <c r="CT32" s="20">
        <v>0</v>
      </c>
      <c r="CU32" s="20">
        <v>25844.378645833334</v>
      </c>
      <c r="CV32" s="20">
        <v>0</v>
      </c>
      <c r="CW32" s="20"/>
      <c r="CX32" s="20">
        <v>0</v>
      </c>
      <c r="CY32" s="20">
        <v>0</v>
      </c>
      <c r="CZ32" s="20">
        <v>0</v>
      </c>
      <c r="DA32" s="20">
        <v>0</v>
      </c>
      <c r="DB32" s="20">
        <v>28900</v>
      </c>
      <c r="DC32" s="20">
        <v>75549.864049345138</v>
      </c>
      <c r="DD32" s="20">
        <v>0</v>
      </c>
      <c r="DE32" s="20">
        <v>0</v>
      </c>
      <c r="DF32" s="20">
        <v>0</v>
      </c>
      <c r="DG32" s="20">
        <v>24163</v>
      </c>
      <c r="DH32" s="20">
        <v>0</v>
      </c>
      <c r="DI32" s="20"/>
      <c r="DJ32" s="20">
        <v>38999.999860301614</v>
      </c>
      <c r="DK32" s="22">
        <v>0</v>
      </c>
      <c r="DL32" s="20">
        <v>0</v>
      </c>
      <c r="DM32" s="20">
        <v>0</v>
      </c>
      <c r="DN32" s="20">
        <v>5330574.902266358</v>
      </c>
      <c r="DO32" s="20">
        <f t="shared" si="0"/>
        <v>2669654.5598907694</v>
      </c>
      <c r="DP32" s="21">
        <v>409286</v>
      </c>
      <c r="DQ32" s="20">
        <f t="shared" si="1"/>
        <v>0</v>
      </c>
      <c r="DR32" s="20">
        <f t="shared" si="2"/>
        <v>306346.01976576669</v>
      </c>
      <c r="DS32" s="20">
        <f t="shared" si="12"/>
        <v>102939.98023423331</v>
      </c>
      <c r="DT32" s="23">
        <f t="shared" si="13"/>
        <v>0.25151111993626296</v>
      </c>
      <c r="DU32" s="20">
        <f t="shared" si="3"/>
        <v>2992413.4828390623</v>
      </c>
      <c r="DV32" s="20">
        <f t="shared" si="4"/>
        <v>1490633.3379071113</v>
      </c>
      <c r="DW32" s="20">
        <f t="shared" si="5"/>
        <v>25202.561520184121</v>
      </c>
      <c r="DX32" s="20">
        <f t="shared" si="6"/>
        <v>113071.84</v>
      </c>
      <c r="DY32" s="20">
        <f t="shared" si="7"/>
        <v>0</v>
      </c>
      <c r="DZ32" s="20">
        <f t="shared" si="8"/>
        <v>0</v>
      </c>
      <c r="EA32" s="20">
        <f t="shared" si="9"/>
        <v>0</v>
      </c>
      <c r="EB32" s="20">
        <f t="shared" si="10"/>
        <v>299967.68</v>
      </c>
      <c r="EC32" s="20">
        <f t="shared" si="14"/>
        <v>102939.98023423331</v>
      </c>
      <c r="ED32" s="20">
        <f t="shared" si="15"/>
        <v>0</v>
      </c>
      <c r="EE32" s="20">
        <f t="shared" si="15"/>
        <v>306346.01976576669</v>
      </c>
      <c r="EF32" s="20">
        <f t="shared" si="16"/>
        <v>409286</v>
      </c>
      <c r="EG32" s="23">
        <f t="shared" si="17"/>
        <v>0.25151111993626296</v>
      </c>
      <c r="EH32" s="20">
        <f t="shared" si="18"/>
        <v>5330574.902266358</v>
      </c>
    </row>
    <row r="33" spans="1:138" x14ac:dyDescent="0.25">
      <c r="A33" s="18">
        <v>471</v>
      </c>
      <c r="B33" t="s">
        <v>172</v>
      </c>
      <c r="C33" t="s">
        <v>138</v>
      </c>
      <c r="D33">
        <v>3</v>
      </c>
      <c r="E33">
        <v>558</v>
      </c>
      <c r="F33" s="19">
        <f t="shared" si="11"/>
        <v>0.31899641577060933</v>
      </c>
      <c r="G33">
        <v>178</v>
      </c>
      <c r="H33" s="20">
        <v>191050.75104188372</v>
      </c>
      <c r="I33" s="20">
        <v>110891.27068881014</v>
      </c>
      <c r="J33" s="20">
        <v>290538.02351164439</v>
      </c>
      <c r="K33" s="20">
        <v>0</v>
      </c>
      <c r="L33" s="20">
        <v>311897.15218886972</v>
      </c>
      <c r="M33" s="20">
        <v>89505.059196611037</v>
      </c>
      <c r="N33" s="20">
        <v>59866.796146808359</v>
      </c>
      <c r="O33" s="20">
        <v>62763.671429619535</v>
      </c>
      <c r="P33" s="20">
        <v>49534.351124581444</v>
      </c>
      <c r="Q33" s="20">
        <v>69924.031375330247</v>
      </c>
      <c r="R33" s="20"/>
      <c r="S33" s="20">
        <v>77625.750694703253</v>
      </c>
      <c r="T33" s="20">
        <v>60676.224767295193</v>
      </c>
      <c r="U33" s="20">
        <v>248581.58687463688</v>
      </c>
      <c r="V33" s="20">
        <v>110891.27068881014</v>
      </c>
      <c r="W33" s="20">
        <v>0</v>
      </c>
      <c r="X33" s="20">
        <v>0</v>
      </c>
      <c r="Y33" s="20">
        <v>0</v>
      </c>
      <c r="Z33" s="20">
        <v>0</v>
      </c>
      <c r="AA33" s="20"/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f>E33/24*AW$120</f>
        <v>2578222.0435148356</v>
      </c>
      <c r="AX33" s="20">
        <f>3437629.39135311-AW33</f>
        <v>859407.3478382742</v>
      </c>
      <c r="AY33" s="20">
        <v>110891.27068881014</v>
      </c>
      <c r="AZ33" s="20">
        <v>221782.54137762028</v>
      </c>
      <c r="BA33" s="20">
        <v>332673.8120664304</v>
      </c>
      <c r="BB33" s="20">
        <v>0</v>
      </c>
      <c r="BC33" s="20">
        <v>0</v>
      </c>
      <c r="BD33" s="20">
        <v>0</v>
      </c>
      <c r="BE33" s="20">
        <v>45364.610736331422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/>
      <c r="BM33" s="20">
        <v>0</v>
      </c>
      <c r="BN33" s="20">
        <v>0</v>
      </c>
      <c r="BO33" s="20">
        <v>0</v>
      </c>
      <c r="BP33" s="20">
        <v>13950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/>
      <c r="CM33" s="20">
        <v>0</v>
      </c>
      <c r="CN33" s="20">
        <v>0</v>
      </c>
      <c r="CO33" s="20">
        <v>355889.44</v>
      </c>
      <c r="CP33" s="20">
        <v>0</v>
      </c>
      <c r="CQ33" s="20">
        <v>0</v>
      </c>
      <c r="CR33" s="20">
        <v>0</v>
      </c>
      <c r="CS33" s="20">
        <v>3560</v>
      </c>
      <c r="CT33" s="20">
        <v>0</v>
      </c>
      <c r="CU33" s="20">
        <v>77367.5</v>
      </c>
      <c r="CV33" s="20">
        <v>114084.97559574516</v>
      </c>
      <c r="CW33" s="20"/>
      <c r="CX33" s="20">
        <v>0</v>
      </c>
      <c r="CY33" s="20">
        <v>0</v>
      </c>
      <c r="CZ33" s="20">
        <v>0</v>
      </c>
      <c r="DA33" s="20">
        <v>0</v>
      </c>
      <c r="DB33" s="20">
        <v>55800</v>
      </c>
      <c r="DC33" s="20">
        <v>96538.377918917249</v>
      </c>
      <c r="DD33" s="20">
        <v>0</v>
      </c>
      <c r="DE33" s="20">
        <v>1921348.19041715</v>
      </c>
      <c r="DF33" s="20">
        <v>0</v>
      </c>
      <c r="DG33" s="20">
        <v>0</v>
      </c>
      <c r="DH33" s="20">
        <v>0</v>
      </c>
      <c r="DI33" s="20"/>
      <c r="DJ33" s="20">
        <v>20580</v>
      </c>
      <c r="DK33" s="22">
        <v>0</v>
      </c>
      <c r="DL33" s="20">
        <v>0</v>
      </c>
      <c r="DM33" s="20">
        <v>400000</v>
      </c>
      <c r="DN33" s="20">
        <v>8941206.0498837195</v>
      </c>
      <c r="DO33" s="20">
        <f t="shared" si="0"/>
        <v>4154790.298826721</v>
      </c>
      <c r="DP33" s="21">
        <v>411598</v>
      </c>
      <c r="DQ33" s="20">
        <f t="shared" si="1"/>
        <v>0</v>
      </c>
      <c r="DR33" s="20">
        <f t="shared" si="2"/>
        <v>997632.32343401934</v>
      </c>
      <c r="DS33" s="20">
        <f t="shared" si="12"/>
        <v>-586034.32343401934</v>
      </c>
      <c r="DT33" s="23">
        <f t="shared" si="13"/>
        <v>-1.4238026507272128</v>
      </c>
      <c r="DU33" s="20">
        <f t="shared" si="3"/>
        <v>5527708.1845973767</v>
      </c>
      <c r="DV33" s="20">
        <f t="shared" si="4"/>
        <v>665347.6241328608</v>
      </c>
      <c r="DW33" s="20">
        <f t="shared" si="5"/>
        <v>45364.610736331422</v>
      </c>
      <c r="DX33" s="20">
        <f t="shared" si="6"/>
        <v>13950</v>
      </c>
      <c r="DY33" s="20">
        <f t="shared" si="7"/>
        <v>1921348.19041715</v>
      </c>
      <c r="DZ33" s="20">
        <f t="shared" si="8"/>
        <v>0</v>
      </c>
      <c r="EA33" s="20">
        <f t="shared" si="9"/>
        <v>0</v>
      </c>
      <c r="EB33" s="20">
        <f t="shared" si="10"/>
        <v>355889.44</v>
      </c>
      <c r="EC33" s="20">
        <f t="shared" si="14"/>
        <v>-586034.32343401934</v>
      </c>
      <c r="ED33" s="20">
        <f t="shared" si="15"/>
        <v>0</v>
      </c>
      <c r="EE33" s="20">
        <f t="shared" si="15"/>
        <v>997632.32343401934</v>
      </c>
      <c r="EF33" s="20">
        <f t="shared" si="16"/>
        <v>411598</v>
      </c>
      <c r="EG33" s="23">
        <f t="shared" si="17"/>
        <v>-1.4238026507272128</v>
      </c>
      <c r="EH33" s="20">
        <f t="shared" si="18"/>
        <v>8941206.0498837177</v>
      </c>
    </row>
    <row r="34" spans="1:138" x14ac:dyDescent="0.25">
      <c r="A34" s="18">
        <v>318</v>
      </c>
      <c r="B34" t="s">
        <v>173</v>
      </c>
      <c r="C34" t="s">
        <v>150</v>
      </c>
      <c r="D34">
        <v>8</v>
      </c>
      <c r="E34">
        <v>462</v>
      </c>
      <c r="F34" s="19">
        <f t="shared" si="11"/>
        <v>0.72943722943722944</v>
      </c>
      <c r="G34">
        <v>337</v>
      </c>
      <c r="H34" s="20">
        <v>191050.75104188372</v>
      </c>
      <c r="I34" s="20">
        <v>110891.27068881014</v>
      </c>
      <c r="J34" s="20">
        <v>198789.17398165143</v>
      </c>
      <c r="K34" s="20">
        <v>110891.27068881014</v>
      </c>
      <c r="L34" s="20">
        <v>0</v>
      </c>
      <c r="M34" s="20">
        <v>89505.059196611037</v>
      </c>
      <c r="N34" s="20">
        <v>59866.796146808359</v>
      </c>
      <c r="O34" s="20">
        <v>53797.432653959608</v>
      </c>
      <c r="P34" s="20">
        <v>0</v>
      </c>
      <c r="Q34" s="20">
        <v>0</v>
      </c>
      <c r="R34" s="20"/>
      <c r="S34" s="20">
        <v>77625.750694703253</v>
      </c>
      <c r="T34" s="20">
        <v>60676.224767295193</v>
      </c>
      <c r="U34" s="20">
        <v>99432.634749854755</v>
      </c>
      <c r="V34" s="20">
        <v>110891.27068881014</v>
      </c>
      <c r="W34" s="20">
        <v>110891.27068881014</v>
      </c>
      <c r="X34" s="20">
        <v>110891.27068881014</v>
      </c>
      <c r="Y34" s="20">
        <v>110891.27068881014</v>
      </c>
      <c r="Z34" s="20">
        <v>0</v>
      </c>
      <c r="AA34" s="20"/>
      <c r="AB34" s="20">
        <v>332673.8120664304</v>
      </c>
      <c r="AC34" s="20">
        <v>100233.47308369415</v>
      </c>
      <c r="AD34" s="20">
        <v>110891.27068881014</v>
      </c>
      <c r="AE34" s="20">
        <v>33411.157694564718</v>
      </c>
      <c r="AF34" s="20">
        <v>332673.8120664304</v>
      </c>
      <c r="AG34" s="20">
        <v>100233.47308369415</v>
      </c>
      <c r="AH34" s="20">
        <v>332673.8120664304</v>
      </c>
      <c r="AI34" s="20">
        <v>100233.47308369415</v>
      </c>
      <c r="AJ34" s="20">
        <v>221782.54137762028</v>
      </c>
      <c r="AK34" s="20">
        <v>221782.54137762028</v>
      </c>
      <c r="AL34" s="20">
        <v>221782.54137762028</v>
      </c>
      <c r="AM34" s="20">
        <v>221782.54137762028</v>
      </c>
      <c r="AN34" s="20">
        <v>221782.54137762028</v>
      </c>
      <c r="AO34" s="20">
        <v>232871.66844650131</v>
      </c>
      <c r="AP34" s="20">
        <v>210693.41430873924</v>
      </c>
      <c r="AQ34" s="20">
        <v>199604.28723985824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/>
      <c r="AX34" s="20">
        <v>0</v>
      </c>
      <c r="AY34" s="20">
        <v>110891.27068881014</v>
      </c>
      <c r="AZ34" s="20">
        <v>332673.8120664304</v>
      </c>
      <c r="BA34" s="20">
        <v>887130.16551048111</v>
      </c>
      <c r="BB34" s="20">
        <v>133644.63077825887</v>
      </c>
      <c r="BC34" s="20">
        <v>0</v>
      </c>
      <c r="BD34" s="20">
        <v>0</v>
      </c>
      <c r="BE34" s="20">
        <v>10081.024608073649</v>
      </c>
      <c r="BF34" s="20">
        <v>0</v>
      </c>
      <c r="BG34" s="20">
        <v>0</v>
      </c>
      <c r="BH34" s="21">
        <f>57280-21480</f>
        <v>35800</v>
      </c>
      <c r="BI34" s="21">
        <f>57280-21480</f>
        <v>35800</v>
      </c>
      <c r="BJ34" s="20">
        <v>10740</v>
      </c>
      <c r="BK34" s="20">
        <v>0</v>
      </c>
      <c r="BL34" s="20"/>
      <c r="BM34" s="20">
        <v>42960</v>
      </c>
      <c r="BN34" s="20">
        <v>190450.17</v>
      </c>
      <c r="BO34" s="20">
        <v>3150.29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221782.54137762028</v>
      </c>
      <c r="CL34" s="20"/>
      <c r="CM34" s="20">
        <v>23000</v>
      </c>
      <c r="CN34" s="20">
        <v>5000</v>
      </c>
      <c r="CO34" s="20">
        <v>111843.51999999999</v>
      </c>
      <c r="CP34" s="20">
        <v>100000</v>
      </c>
      <c r="CQ34" s="20">
        <v>0</v>
      </c>
      <c r="CR34" s="20">
        <v>0</v>
      </c>
      <c r="CS34" s="20">
        <v>6740</v>
      </c>
      <c r="CT34" s="20">
        <v>0</v>
      </c>
      <c r="CU34" s="20">
        <v>28790.6</v>
      </c>
      <c r="CV34" s="20">
        <v>0</v>
      </c>
      <c r="CW34" s="20"/>
      <c r="CX34" s="20">
        <v>0</v>
      </c>
      <c r="CY34" s="20">
        <v>0</v>
      </c>
      <c r="CZ34" s="20">
        <v>0</v>
      </c>
      <c r="DA34" s="20">
        <v>0</v>
      </c>
      <c r="DB34" s="20">
        <v>46200</v>
      </c>
      <c r="DC34" s="20">
        <v>104447.16017510724</v>
      </c>
      <c r="DD34" s="20">
        <v>0</v>
      </c>
      <c r="DE34" s="20">
        <v>0</v>
      </c>
      <c r="DF34" s="20">
        <v>13859</v>
      </c>
      <c r="DG34" s="20">
        <v>0</v>
      </c>
      <c r="DH34" s="20">
        <v>0</v>
      </c>
      <c r="DI34" s="20"/>
      <c r="DJ34" s="20">
        <v>32825.000179186463</v>
      </c>
      <c r="DK34" s="22">
        <v>0</v>
      </c>
      <c r="DL34" s="20">
        <v>0</v>
      </c>
      <c r="DM34" s="20">
        <v>90000</v>
      </c>
      <c r="DN34" s="20">
        <v>7269006.9934665402</v>
      </c>
      <c r="DO34" s="20">
        <f t="shared" si="0"/>
        <v>4982683.4994234499</v>
      </c>
      <c r="DP34" s="21">
        <v>779261</v>
      </c>
      <c r="DQ34" s="20">
        <f t="shared" ref="DQ34:DQ65" si="20">SUM(BH34:BK34)</f>
        <v>82340</v>
      </c>
      <c r="DR34" s="20">
        <f t="shared" ref="DR34:DR65" si="21">SUM(R34,AA34,AX34,BS34:BZ34,CB34:CD34,CG34:CI34,CL34,CS34:CT34,CV34,DJ34)</f>
        <v>39565.000179186463</v>
      </c>
      <c r="DS34" s="20">
        <f t="shared" si="12"/>
        <v>657355.99982081354</v>
      </c>
      <c r="DT34" s="23">
        <f t="shared" si="13"/>
        <v>0.84356332450977722</v>
      </c>
      <c r="DU34" s="20">
        <f t="shared" ref="DU34:DU65" si="22">SUM(H34:Q34,S34:Z34,AB34:AW34,BL34,BQ34:BR34,CE34:CF34,CJ34:CK34,CM34:CN34,CP34:CQ34,CU34,CW34:DC34,DF34:DI34,DM34)-EC34</f>
        <v>4666921.1098144893</v>
      </c>
      <c r="DV34" s="20">
        <f t="shared" ref="DV34:DV65" si="23">SUM(AY34:BD34)</f>
        <v>1464339.8790439805</v>
      </c>
      <c r="DW34" s="20">
        <f t="shared" ref="DW34:DW65" si="24">SUM(BE34:BG34)</f>
        <v>10081.024608073649</v>
      </c>
      <c r="DX34" s="20">
        <f t="shared" ref="DX34:DX65" si="25">SUM(BM34:BP34,CA34,CR34,DK34,)</f>
        <v>236560.46000000002</v>
      </c>
      <c r="DY34" s="20">
        <f t="shared" ref="DY34:DY65" si="26">DE34</f>
        <v>0</v>
      </c>
      <c r="DZ34" s="20">
        <f t="shared" ref="DZ34:DZ65" si="27">DD34</f>
        <v>0</v>
      </c>
      <c r="EA34" s="20">
        <f t="shared" ref="EA34:EA65" si="28">DL34</f>
        <v>0</v>
      </c>
      <c r="EB34" s="20">
        <f t="shared" ref="EB34:EB65" si="29">CO34</f>
        <v>111843.51999999999</v>
      </c>
      <c r="EC34" s="20">
        <f t="shared" si="14"/>
        <v>657355.99982081354</v>
      </c>
      <c r="ED34" s="20">
        <f t="shared" si="15"/>
        <v>82340</v>
      </c>
      <c r="EE34" s="20">
        <f t="shared" si="15"/>
        <v>39565.000179186463</v>
      </c>
      <c r="EF34" s="20">
        <f t="shared" si="16"/>
        <v>779261</v>
      </c>
      <c r="EG34" s="23">
        <f t="shared" si="17"/>
        <v>0.84356332450977722</v>
      </c>
      <c r="EH34" s="20">
        <f t="shared" si="18"/>
        <v>7269006.993466543</v>
      </c>
    </row>
    <row r="35" spans="1:138" x14ac:dyDescent="0.25">
      <c r="A35" s="18">
        <v>238</v>
      </c>
      <c r="B35" t="s">
        <v>174</v>
      </c>
      <c r="C35" t="s">
        <v>135</v>
      </c>
      <c r="D35">
        <v>8</v>
      </c>
      <c r="E35">
        <v>286</v>
      </c>
      <c r="F35" s="19">
        <f t="shared" si="11"/>
        <v>0.79020979020979021</v>
      </c>
      <c r="G35">
        <v>226</v>
      </c>
      <c r="H35" s="20">
        <v>191050.75104188372</v>
      </c>
      <c r="I35" s="20">
        <v>110891.27068881014</v>
      </c>
      <c r="J35" s="20">
        <v>0</v>
      </c>
      <c r="K35" s="20">
        <v>0</v>
      </c>
      <c r="L35" s="20">
        <v>0</v>
      </c>
      <c r="M35" s="20">
        <v>44752.529598305518</v>
      </c>
      <c r="N35" s="20">
        <v>59866.796146808359</v>
      </c>
      <c r="O35" s="20">
        <v>0</v>
      </c>
      <c r="P35" s="20">
        <v>0</v>
      </c>
      <c r="Q35" s="20">
        <v>0</v>
      </c>
      <c r="R35" s="20"/>
      <c r="S35" s="20">
        <v>77625.750694703253</v>
      </c>
      <c r="T35" s="20">
        <v>60676.224767295193</v>
      </c>
      <c r="U35" s="20">
        <v>49716.317374927377</v>
      </c>
      <c r="V35" s="20">
        <v>55445.635344405069</v>
      </c>
      <c r="W35" s="20">
        <v>110891.27068881014</v>
      </c>
      <c r="X35" s="20">
        <v>110891.27068881014</v>
      </c>
      <c r="Y35" s="20">
        <v>110891.27068881014</v>
      </c>
      <c r="Z35" s="20">
        <v>0</v>
      </c>
      <c r="AA35" s="20"/>
      <c r="AB35" s="20">
        <v>110891.27068881014</v>
      </c>
      <c r="AC35" s="20">
        <v>33411.157694564718</v>
      </c>
      <c r="AD35" s="20">
        <v>110891.27068881014</v>
      </c>
      <c r="AE35" s="20">
        <v>33411.157694564718</v>
      </c>
      <c r="AF35" s="20">
        <v>110891.27068881014</v>
      </c>
      <c r="AG35" s="20">
        <v>33411.157694564718</v>
      </c>
      <c r="AH35" s="20">
        <v>221782.54137762028</v>
      </c>
      <c r="AI35" s="20">
        <v>66822.315389129435</v>
      </c>
      <c r="AJ35" s="20">
        <v>221782.54137762028</v>
      </c>
      <c r="AK35" s="20">
        <v>221782.54137762028</v>
      </c>
      <c r="AL35" s="20">
        <v>221782.54137762028</v>
      </c>
      <c r="AM35" s="20">
        <v>221782.54137762028</v>
      </c>
      <c r="AN35" s="20">
        <v>332673.8120664304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/>
      <c r="AX35" s="20">
        <v>0</v>
      </c>
      <c r="AY35" s="20">
        <v>110891.27068881014</v>
      </c>
      <c r="AZ35" s="20">
        <v>110891.27068881014</v>
      </c>
      <c r="BA35" s="20">
        <v>665347.6241328608</v>
      </c>
      <c r="BB35" s="20">
        <v>200466.94616738829</v>
      </c>
      <c r="BC35" s="20">
        <v>0</v>
      </c>
      <c r="BD35" s="20">
        <v>0</v>
      </c>
      <c r="BE35" s="20">
        <v>10081.024608073649</v>
      </c>
      <c r="BF35" s="20">
        <v>0</v>
      </c>
      <c r="BG35" s="20">
        <v>0</v>
      </c>
      <c r="BH35" s="21">
        <f>35800-14320</f>
        <v>21480</v>
      </c>
      <c r="BI35" s="21">
        <f>35800-14320</f>
        <v>21480</v>
      </c>
      <c r="BJ35" s="20">
        <v>10740</v>
      </c>
      <c r="BK35" s="20">
        <v>0</v>
      </c>
      <c r="BL35" s="20"/>
      <c r="BM35" s="20">
        <v>28640</v>
      </c>
      <c r="BN35" s="20">
        <v>122312.18</v>
      </c>
      <c r="BO35" s="20">
        <v>2023.52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/>
      <c r="CM35" s="20">
        <v>0</v>
      </c>
      <c r="CN35" s="20">
        <v>0</v>
      </c>
      <c r="CO35" s="20">
        <v>55921.759999999995</v>
      </c>
      <c r="CP35" s="20">
        <v>0</v>
      </c>
      <c r="CQ35" s="20">
        <v>0</v>
      </c>
      <c r="CR35" s="20">
        <v>0</v>
      </c>
      <c r="CS35" s="20">
        <v>9040</v>
      </c>
      <c r="CT35" s="20">
        <v>0</v>
      </c>
      <c r="CU35" s="20">
        <v>16535.982677165353</v>
      </c>
      <c r="CV35" s="20">
        <v>0</v>
      </c>
      <c r="CW35" s="20"/>
      <c r="CX35" s="20">
        <v>0</v>
      </c>
      <c r="CY35" s="20">
        <v>0</v>
      </c>
      <c r="CZ35" s="20">
        <v>0</v>
      </c>
      <c r="DA35" s="20">
        <v>0</v>
      </c>
      <c r="DB35" s="20">
        <v>28600</v>
      </c>
      <c r="DC35" s="20">
        <v>64749.262830403102</v>
      </c>
      <c r="DD35" s="20">
        <v>0</v>
      </c>
      <c r="DE35" s="20">
        <v>0</v>
      </c>
      <c r="DF35" s="20">
        <v>13859</v>
      </c>
      <c r="DG35" s="20">
        <v>0</v>
      </c>
      <c r="DH35" s="20">
        <v>0</v>
      </c>
      <c r="DI35" s="20"/>
      <c r="DJ35" s="20">
        <v>26325.000116229057</v>
      </c>
      <c r="DK35" s="22">
        <v>0</v>
      </c>
      <c r="DL35" s="20">
        <v>0</v>
      </c>
      <c r="DM35" s="20">
        <v>0</v>
      </c>
      <c r="DN35" s="20">
        <v>4443400.0491270954</v>
      </c>
      <c r="DO35" s="20">
        <f t="shared" si="0"/>
        <v>2845882.1598879974</v>
      </c>
      <c r="DP35" s="21">
        <v>522591</v>
      </c>
      <c r="DQ35" s="20">
        <f t="shared" si="20"/>
        <v>53700</v>
      </c>
      <c r="DR35" s="20">
        <f t="shared" si="21"/>
        <v>35365.000116229057</v>
      </c>
      <c r="DS35" s="20">
        <f t="shared" si="12"/>
        <v>433525.99988377094</v>
      </c>
      <c r="DT35" s="23">
        <f t="shared" si="13"/>
        <v>0.82957035211814012</v>
      </c>
      <c r="DU35" s="20">
        <f t="shared" si="22"/>
        <v>2614233.452841152</v>
      </c>
      <c r="DV35" s="20">
        <f t="shared" si="23"/>
        <v>1087597.1116778695</v>
      </c>
      <c r="DW35" s="20">
        <f t="shared" si="24"/>
        <v>10081.024608073649</v>
      </c>
      <c r="DX35" s="20">
        <f t="shared" si="25"/>
        <v>152975.69999999998</v>
      </c>
      <c r="DY35" s="20">
        <f t="shared" si="26"/>
        <v>0</v>
      </c>
      <c r="DZ35" s="20">
        <f t="shared" si="27"/>
        <v>0</v>
      </c>
      <c r="EA35" s="20">
        <f t="shared" si="28"/>
        <v>0</v>
      </c>
      <c r="EB35" s="20">
        <f t="shared" si="29"/>
        <v>55921.759999999995</v>
      </c>
      <c r="EC35" s="20">
        <f t="shared" si="14"/>
        <v>433525.99988377094</v>
      </c>
      <c r="ED35" s="20">
        <f t="shared" si="15"/>
        <v>53700</v>
      </c>
      <c r="EE35" s="20">
        <f t="shared" si="15"/>
        <v>35365.000116229057</v>
      </c>
      <c r="EF35" s="20">
        <f t="shared" si="16"/>
        <v>522591</v>
      </c>
      <c r="EG35" s="23">
        <f t="shared" si="17"/>
        <v>0.82957035211814012</v>
      </c>
      <c r="EH35" s="20">
        <f t="shared" si="18"/>
        <v>4443400.0491270954</v>
      </c>
    </row>
    <row r="36" spans="1:138" x14ac:dyDescent="0.25">
      <c r="A36" s="18">
        <v>239</v>
      </c>
      <c r="B36" t="s">
        <v>175</v>
      </c>
      <c r="C36" t="s">
        <v>135</v>
      </c>
      <c r="D36">
        <v>2</v>
      </c>
      <c r="E36">
        <v>304</v>
      </c>
      <c r="F36" s="19">
        <f t="shared" si="11"/>
        <v>0.40789473684210525</v>
      </c>
      <c r="G36">
        <v>124</v>
      </c>
      <c r="H36" s="20">
        <v>191050.75104188372</v>
      </c>
      <c r="I36" s="20">
        <v>110891.27068881014</v>
      </c>
      <c r="J36" s="20">
        <v>122331.79937332397</v>
      </c>
      <c r="K36" s="20">
        <v>0</v>
      </c>
      <c r="L36" s="20">
        <v>0</v>
      </c>
      <c r="M36" s="20">
        <v>89505.059196611037</v>
      </c>
      <c r="N36" s="20">
        <v>59866.796146808359</v>
      </c>
      <c r="O36" s="20">
        <v>0</v>
      </c>
      <c r="P36" s="20">
        <v>0</v>
      </c>
      <c r="Q36" s="20">
        <v>0</v>
      </c>
      <c r="R36" s="20"/>
      <c r="S36" s="20">
        <v>77625.750694703253</v>
      </c>
      <c r="T36" s="20">
        <v>60676.224767295193</v>
      </c>
      <c r="U36" s="20">
        <v>99432.634749854755</v>
      </c>
      <c r="V36" s="20">
        <v>110891.27068881014</v>
      </c>
      <c r="W36" s="20">
        <v>110891.27068881014</v>
      </c>
      <c r="X36" s="20">
        <v>110891.27068881014</v>
      </c>
      <c r="Y36" s="20">
        <v>110891.27068881014</v>
      </c>
      <c r="Z36" s="20">
        <v>0</v>
      </c>
      <c r="AA36" s="20"/>
      <c r="AB36" s="20">
        <v>0</v>
      </c>
      <c r="AC36" s="20">
        <v>0</v>
      </c>
      <c r="AD36" s="20">
        <v>554456.35344405065</v>
      </c>
      <c r="AE36" s="20">
        <v>200466.94616738829</v>
      </c>
      <c r="AF36" s="20">
        <v>0</v>
      </c>
      <c r="AG36" s="20">
        <v>0</v>
      </c>
      <c r="AH36" s="20">
        <v>221782.54137762028</v>
      </c>
      <c r="AI36" s="20">
        <v>66822.315389129435</v>
      </c>
      <c r="AJ36" s="20">
        <v>221782.54137762028</v>
      </c>
      <c r="AK36" s="20">
        <v>221782.54137762028</v>
      </c>
      <c r="AL36" s="20">
        <v>221782.54137762028</v>
      </c>
      <c r="AM36" s="20">
        <v>221782.54137762028</v>
      </c>
      <c r="AN36" s="20">
        <v>110891.27068881014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/>
      <c r="AX36" s="20">
        <v>0</v>
      </c>
      <c r="AY36" s="20">
        <v>55445.635344405069</v>
      </c>
      <c r="AZ36" s="20">
        <v>110891.27068881014</v>
      </c>
      <c r="BA36" s="20">
        <v>776238.89482167095</v>
      </c>
      <c r="BB36" s="20">
        <v>200466.94616738829</v>
      </c>
      <c r="BC36" s="20">
        <v>0</v>
      </c>
      <c r="BD36" s="20">
        <v>0</v>
      </c>
      <c r="BE36" s="20">
        <v>499010.71809964563</v>
      </c>
      <c r="BF36" s="20">
        <v>0</v>
      </c>
      <c r="BG36" s="20">
        <v>0</v>
      </c>
      <c r="BH36" s="21">
        <f>35800-14320</f>
        <v>21480</v>
      </c>
      <c r="BI36" s="21">
        <f>35800-14320</f>
        <v>21480</v>
      </c>
      <c r="BJ36" s="20">
        <v>10740</v>
      </c>
      <c r="BK36" s="20">
        <v>0</v>
      </c>
      <c r="BL36" s="20"/>
      <c r="BM36" s="20">
        <v>28640</v>
      </c>
      <c r="BN36" s="20">
        <v>124016.88</v>
      </c>
      <c r="BO36" s="20">
        <v>2051.7199999999998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/>
      <c r="CM36" s="20">
        <v>0</v>
      </c>
      <c r="CN36" s="20">
        <v>0</v>
      </c>
      <c r="CO36" s="20">
        <v>55921.759999999995</v>
      </c>
      <c r="CP36" s="20">
        <v>0</v>
      </c>
      <c r="CQ36" s="20">
        <v>0</v>
      </c>
      <c r="CR36" s="20">
        <v>0</v>
      </c>
      <c r="CS36" s="20">
        <v>2480</v>
      </c>
      <c r="CT36" s="20">
        <v>0</v>
      </c>
      <c r="CU36" s="20">
        <v>17642.337078651686</v>
      </c>
      <c r="CV36" s="20">
        <v>0</v>
      </c>
      <c r="CW36" s="20"/>
      <c r="CX36" s="20">
        <v>0</v>
      </c>
      <c r="CY36" s="20">
        <v>0</v>
      </c>
      <c r="CZ36" s="20">
        <v>0</v>
      </c>
      <c r="DA36" s="20">
        <v>0</v>
      </c>
      <c r="DB36" s="20">
        <v>30400</v>
      </c>
      <c r="DC36" s="20">
        <v>79510.629676534285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/>
      <c r="DJ36" s="20">
        <v>4050.0000519677997</v>
      </c>
      <c r="DK36" s="22">
        <v>0</v>
      </c>
      <c r="DL36" s="20">
        <v>0</v>
      </c>
      <c r="DM36" s="20">
        <v>0</v>
      </c>
      <c r="DN36" s="20">
        <v>5336961.7539210841</v>
      </c>
      <c r="DO36" s="20">
        <f t="shared" si="0"/>
        <v>3186313.3185353437</v>
      </c>
      <c r="DP36" s="21">
        <v>286731</v>
      </c>
      <c r="DQ36" s="20">
        <f t="shared" si="20"/>
        <v>53700</v>
      </c>
      <c r="DR36" s="20">
        <f t="shared" si="21"/>
        <v>6530.0000519677997</v>
      </c>
      <c r="DS36" s="20">
        <f t="shared" si="12"/>
        <v>226500.9999480322</v>
      </c>
      <c r="DT36" s="23">
        <f t="shared" si="13"/>
        <v>0.7899424894693361</v>
      </c>
      <c r="DU36" s="20">
        <f t="shared" si="22"/>
        <v>3197546.9287991645</v>
      </c>
      <c r="DV36" s="20">
        <f t="shared" si="23"/>
        <v>1143042.7470222744</v>
      </c>
      <c r="DW36" s="20">
        <f t="shared" si="24"/>
        <v>499010.71809964563</v>
      </c>
      <c r="DX36" s="20">
        <f t="shared" si="25"/>
        <v>154708.6</v>
      </c>
      <c r="DY36" s="20">
        <f t="shared" si="26"/>
        <v>0</v>
      </c>
      <c r="DZ36" s="20">
        <f t="shared" si="27"/>
        <v>0</v>
      </c>
      <c r="EA36" s="20">
        <f t="shared" si="28"/>
        <v>0</v>
      </c>
      <c r="EB36" s="20">
        <f t="shared" si="29"/>
        <v>55921.759999999995</v>
      </c>
      <c r="EC36" s="20">
        <f t="shared" si="14"/>
        <v>226500.9999480322</v>
      </c>
      <c r="ED36" s="20">
        <f t="shared" si="15"/>
        <v>53700</v>
      </c>
      <c r="EE36" s="20">
        <f t="shared" si="15"/>
        <v>6530.0000519677997</v>
      </c>
      <c r="EF36" s="20">
        <f t="shared" si="16"/>
        <v>286731</v>
      </c>
      <c r="EG36" s="23">
        <f t="shared" si="17"/>
        <v>0.7899424894693361</v>
      </c>
      <c r="EH36" s="20">
        <f t="shared" si="18"/>
        <v>5336961.7539210832</v>
      </c>
    </row>
    <row r="37" spans="1:138" x14ac:dyDescent="0.25">
      <c r="A37" s="18">
        <v>227</v>
      </c>
      <c r="B37" t="s">
        <v>176</v>
      </c>
      <c r="C37" t="s">
        <v>135</v>
      </c>
      <c r="D37">
        <v>1</v>
      </c>
      <c r="E37">
        <v>401</v>
      </c>
      <c r="F37" s="19">
        <f t="shared" si="11"/>
        <v>0.51122194513715713</v>
      </c>
      <c r="G37">
        <v>205</v>
      </c>
      <c r="H37" s="20">
        <v>191050.75104188372</v>
      </c>
      <c r="I37" s="20">
        <v>110891.27068881014</v>
      </c>
      <c r="J37" s="20">
        <v>152914.74921665495</v>
      </c>
      <c r="K37" s="20">
        <v>0</v>
      </c>
      <c r="L37" s="20">
        <v>0</v>
      </c>
      <c r="M37" s="20">
        <v>89505.059196611037</v>
      </c>
      <c r="N37" s="20">
        <v>59866.796146808359</v>
      </c>
      <c r="O37" s="20">
        <v>44831.193878299673</v>
      </c>
      <c r="P37" s="20">
        <v>0</v>
      </c>
      <c r="Q37" s="20">
        <v>0</v>
      </c>
      <c r="R37" s="20"/>
      <c r="S37" s="20">
        <v>77625.750694703253</v>
      </c>
      <c r="T37" s="20">
        <v>60676.224767295193</v>
      </c>
      <c r="U37" s="20">
        <v>99432.634749854755</v>
      </c>
      <c r="V37" s="20">
        <v>110891.27068881014</v>
      </c>
      <c r="W37" s="20">
        <v>110891.27068881014</v>
      </c>
      <c r="X37" s="20">
        <v>110891.27068881014</v>
      </c>
      <c r="Y37" s="20">
        <v>110891.27068881014</v>
      </c>
      <c r="Z37" s="20">
        <f>221782.54137762-AA37</f>
        <v>166336.90603321491</v>
      </c>
      <c r="AA37" s="20">
        <f>0.5*Y37</f>
        <v>55445.635344405069</v>
      </c>
      <c r="AB37" s="20">
        <v>221782.54137762028</v>
      </c>
      <c r="AC37" s="20">
        <v>66822.315389129435</v>
      </c>
      <c r="AD37" s="20">
        <v>0</v>
      </c>
      <c r="AE37" s="20">
        <v>0</v>
      </c>
      <c r="AF37" s="20">
        <v>332673.8120664304</v>
      </c>
      <c r="AG37" s="20">
        <v>100233.47308369415</v>
      </c>
      <c r="AH37" s="20">
        <v>332673.8120664304</v>
      </c>
      <c r="AI37" s="20">
        <v>100233.47308369415</v>
      </c>
      <c r="AJ37" s="20">
        <v>332673.8120664304</v>
      </c>
      <c r="AK37" s="20">
        <v>332673.8120664304</v>
      </c>
      <c r="AL37" s="20">
        <v>221782.54137762028</v>
      </c>
      <c r="AM37" s="20">
        <v>221782.54137762028</v>
      </c>
      <c r="AN37" s="20">
        <v>221782.54137762028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/>
      <c r="AX37" s="20">
        <v>0</v>
      </c>
      <c r="AY37" s="20">
        <v>55445.635344405069</v>
      </c>
      <c r="AZ37" s="20">
        <v>221782.54137762028</v>
      </c>
      <c r="BA37" s="20">
        <v>776238.89482167095</v>
      </c>
      <c r="BB37" s="20">
        <v>133644.63077825887</v>
      </c>
      <c r="BC37" s="20">
        <v>0</v>
      </c>
      <c r="BD37" s="20">
        <v>0</v>
      </c>
      <c r="BE37" s="20">
        <v>998021.43619929126</v>
      </c>
      <c r="BF37" s="20">
        <v>0</v>
      </c>
      <c r="BG37" s="20">
        <v>110891.27068881014</v>
      </c>
      <c r="BH37" s="20">
        <v>0</v>
      </c>
      <c r="BI37" s="20">
        <v>0</v>
      </c>
      <c r="BJ37" s="20">
        <v>0</v>
      </c>
      <c r="BK37" s="20">
        <v>0</v>
      </c>
      <c r="BL37" s="20"/>
      <c r="BM37" s="20">
        <v>0</v>
      </c>
      <c r="BN37" s="20">
        <v>173453.16</v>
      </c>
      <c r="BO37" s="20">
        <v>2869.59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/>
      <c r="CM37" s="20">
        <v>0</v>
      </c>
      <c r="CN37" s="20">
        <v>0</v>
      </c>
      <c r="CO37" s="20">
        <v>55921.759999999995</v>
      </c>
      <c r="CP37" s="20">
        <v>0</v>
      </c>
      <c r="CQ37" s="20">
        <v>0</v>
      </c>
      <c r="CR37" s="20">
        <v>0</v>
      </c>
      <c r="CS37" s="20">
        <v>4100</v>
      </c>
      <c r="CT37" s="20">
        <v>0</v>
      </c>
      <c r="CU37" s="20">
        <v>22994.201587301588</v>
      </c>
      <c r="CV37" s="20">
        <v>0</v>
      </c>
      <c r="CW37" s="20"/>
      <c r="CX37" s="20">
        <v>0</v>
      </c>
      <c r="CY37" s="20">
        <v>114084.97559574516</v>
      </c>
      <c r="CZ37" s="20">
        <v>0</v>
      </c>
      <c r="DA37" s="20">
        <v>0</v>
      </c>
      <c r="DB37" s="20">
        <v>40100</v>
      </c>
      <c r="DC37" s="20">
        <v>101965.8263388106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/>
      <c r="DJ37" s="20">
        <v>10575</v>
      </c>
      <c r="DK37" s="22">
        <v>0</v>
      </c>
      <c r="DL37" s="20">
        <v>0</v>
      </c>
      <c r="DM37" s="20">
        <v>0</v>
      </c>
      <c r="DN37" s="20">
        <v>6859345.6525784163</v>
      </c>
      <c r="DO37" s="20">
        <f t="shared" si="0"/>
        <v>3909136.5122163552</v>
      </c>
      <c r="DP37" s="21">
        <v>474031</v>
      </c>
      <c r="DQ37" s="20">
        <f t="shared" si="20"/>
        <v>0</v>
      </c>
      <c r="DR37" s="20">
        <f t="shared" si="21"/>
        <v>70120.635344405076</v>
      </c>
      <c r="DS37" s="20">
        <f t="shared" si="12"/>
        <v>403910.36465559492</v>
      </c>
      <c r="DT37" s="23">
        <f t="shared" si="13"/>
        <v>0.85207584452408158</v>
      </c>
      <c r="DU37" s="20">
        <f t="shared" si="22"/>
        <v>3857045.733368359</v>
      </c>
      <c r="DV37" s="20">
        <f t="shared" si="23"/>
        <v>1187111.7023219552</v>
      </c>
      <c r="DW37" s="20">
        <f t="shared" si="24"/>
        <v>1108912.7068881013</v>
      </c>
      <c r="DX37" s="20">
        <f t="shared" si="25"/>
        <v>176322.75</v>
      </c>
      <c r="DY37" s="20">
        <f t="shared" si="26"/>
        <v>0</v>
      </c>
      <c r="DZ37" s="20">
        <f t="shared" si="27"/>
        <v>0</v>
      </c>
      <c r="EA37" s="20">
        <f t="shared" si="28"/>
        <v>0</v>
      </c>
      <c r="EB37" s="20">
        <f t="shared" si="29"/>
        <v>55921.759999999995</v>
      </c>
      <c r="EC37" s="20">
        <f t="shared" si="14"/>
        <v>403910.36465559492</v>
      </c>
      <c r="ED37" s="20">
        <f t="shared" si="15"/>
        <v>0</v>
      </c>
      <c r="EE37" s="20">
        <f t="shared" si="15"/>
        <v>70120.635344405076</v>
      </c>
      <c r="EF37" s="20">
        <f t="shared" si="16"/>
        <v>474031</v>
      </c>
      <c r="EG37" s="23">
        <f t="shared" si="17"/>
        <v>0.85207584452408158</v>
      </c>
      <c r="EH37" s="20">
        <f t="shared" si="18"/>
        <v>6859345.6525784153</v>
      </c>
    </row>
    <row r="38" spans="1:138" x14ac:dyDescent="0.25">
      <c r="A38" s="18">
        <v>246</v>
      </c>
      <c r="B38" t="s">
        <v>177</v>
      </c>
      <c r="C38" t="s">
        <v>152</v>
      </c>
      <c r="D38">
        <v>2</v>
      </c>
      <c r="E38">
        <v>505</v>
      </c>
      <c r="F38" s="19">
        <f t="shared" si="11"/>
        <v>0.18613861386138614</v>
      </c>
      <c r="G38">
        <v>94</v>
      </c>
      <c r="H38" s="20">
        <v>191050.75104188372</v>
      </c>
      <c r="I38" s="20">
        <v>110891.27068881014</v>
      </c>
      <c r="J38" s="20">
        <v>259955.07366831342</v>
      </c>
      <c r="K38" s="20">
        <v>144158.65189545319</v>
      </c>
      <c r="L38" s="20">
        <v>0</v>
      </c>
      <c r="M38" s="20">
        <v>89505.059196611037</v>
      </c>
      <c r="N38" s="20">
        <v>59866.796146808359</v>
      </c>
      <c r="O38" s="20">
        <v>58280.552041789575</v>
      </c>
      <c r="P38" s="20">
        <v>0</v>
      </c>
      <c r="Q38" s="20">
        <v>0</v>
      </c>
      <c r="R38" s="20"/>
      <c r="S38" s="20">
        <v>77625.750694703253</v>
      </c>
      <c r="T38" s="20">
        <v>60676.224767295193</v>
      </c>
      <c r="U38" s="20">
        <v>149148.95212478214</v>
      </c>
      <c r="V38" s="20">
        <v>110891.27068881014</v>
      </c>
      <c r="W38" s="20">
        <v>0</v>
      </c>
      <c r="X38" s="20">
        <v>0</v>
      </c>
      <c r="Y38" s="20">
        <v>0</v>
      </c>
      <c r="Z38" s="20">
        <v>0</v>
      </c>
      <c r="AA38" s="20"/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853862.78430383804</v>
      </c>
      <c r="AP38" s="20">
        <v>853862.78430383804</v>
      </c>
      <c r="AQ38" s="20">
        <v>831684.53016607603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/>
      <c r="AX38" s="20">
        <v>0</v>
      </c>
      <c r="AY38" s="20">
        <v>110891.27068881014</v>
      </c>
      <c r="AZ38" s="20">
        <v>221782.54137762028</v>
      </c>
      <c r="BA38" s="20">
        <v>998021.43619929126</v>
      </c>
      <c r="BB38" s="20">
        <v>133644.63077825887</v>
      </c>
      <c r="BC38" s="20">
        <v>0</v>
      </c>
      <c r="BD38" s="20">
        <v>0</v>
      </c>
      <c r="BE38" s="20">
        <v>110891.27068881014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/>
      <c r="BM38" s="20">
        <v>0</v>
      </c>
      <c r="BN38" s="20">
        <v>0</v>
      </c>
      <c r="BO38" s="20">
        <v>0</v>
      </c>
      <c r="BP38" s="20">
        <v>11850</v>
      </c>
      <c r="BQ38" s="20">
        <v>0</v>
      </c>
      <c r="BR38" s="20">
        <v>110891.27068881014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332673.8120664304</v>
      </c>
      <c r="CL38" s="20"/>
      <c r="CM38" s="20">
        <v>23000</v>
      </c>
      <c r="CN38" s="20">
        <v>5000</v>
      </c>
      <c r="CO38" s="20">
        <v>244045.91999999998</v>
      </c>
      <c r="CP38" s="20">
        <v>100000</v>
      </c>
      <c r="CQ38" s="20">
        <v>0</v>
      </c>
      <c r="CR38" s="20">
        <v>0</v>
      </c>
      <c r="CS38" s="20">
        <v>0</v>
      </c>
      <c r="CT38" s="20">
        <v>77760</v>
      </c>
      <c r="CU38" s="20">
        <v>37847.128865979379</v>
      </c>
      <c r="CV38" s="20">
        <v>0</v>
      </c>
      <c r="CW38" s="20"/>
      <c r="CX38" s="20">
        <v>0</v>
      </c>
      <c r="CY38" s="20">
        <v>0</v>
      </c>
      <c r="CZ38" s="20">
        <v>0</v>
      </c>
      <c r="DA38" s="20">
        <v>0</v>
      </c>
      <c r="DB38" s="20">
        <v>50500</v>
      </c>
      <c r="DC38" s="20">
        <v>97373.068615894415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/>
      <c r="DJ38" s="20">
        <v>15074.999956414104</v>
      </c>
      <c r="DK38" s="22">
        <v>0</v>
      </c>
      <c r="DL38" s="20">
        <v>0</v>
      </c>
      <c r="DM38" s="20">
        <v>0</v>
      </c>
      <c r="DN38" s="20">
        <v>6532707.8016553326</v>
      </c>
      <c r="DO38" s="20">
        <f t="shared" si="0"/>
        <v>4210403.5336905364</v>
      </c>
      <c r="DP38" s="21">
        <v>217361</v>
      </c>
      <c r="DQ38" s="20">
        <f t="shared" si="20"/>
        <v>0</v>
      </c>
      <c r="DR38" s="20">
        <f t="shared" si="21"/>
        <v>92834.999956414104</v>
      </c>
      <c r="DS38" s="20">
        <f t="shared" si="12"/>
        <v>124526.0000435859</v>
      </c>
      <c r="DT38" s="23">
        <f t="shared" si="13"/>
        <v>0.57289946238555167</v>
      </c>
      <c r="DU38" s="20">
        <f t="shared" si="22"/>
        <v>4484219.7319225408</v>
      </c>
      <c r="DV38" s="20">
        <f t="shared" si="23"/>
        <v>1464339.8790439805</v>
      </c>
      <c r="DW38" s="20">
        <f t="shared" si="24"/>
        <v>110891.27068881014</v>
      </c>
      <c r="DX38" s="20">
        <f t="shared" si="25"/>
        <v>11850</v>
      </c>
      <c r="DY38" s="20">
        <f t="shared" si="26"/>
        <v>0</v>
      </c>
      <c r="DZ38" s="20">
        <f t="shared" si="27"/>
        <v>0</v>
      </c>
      <c r="EA38" s="20">
        <f t="shared" si="28"/>
        <v>0</v>
      </c>
      <c r="EB38" s="20">
        <f t="shared" si="29"/>
        <v>244045.91999999998</v>
      </c>
      <c r="EC38" s="20">
        <f t="shared" si="14"/>
        <v>124526.0000435859</v>
      </c>
      <c r="ED38" s="20">
        <f t="shared" si="15"/>
        <v>0</v>
      </c>
      <c r="EE38" s="20">
        <f t="shared" si="15"/>
        <v>92834.999956414104</v>
      </c>
      <c r="EF38" s="20">
        <f t="shared" si="16"/>
        <v>217361</v>
      </c>
      <c r="EG38" s="23">
        <f t="shared" si="17"/>
        <v>0.57289946238555167</v>
      </c>
      <c r="EH38" s="20">
        <f t="shared" si="18"/>
        <v>6532707.8016553316</v>
      </c>
    </row>
    <row r="39" spans="1:138" x14ac:dyDescent="0.25">
      <c r="A39" s="18">
        <v>413</v>
      </c>
      <c r="B39" t="s">
        <v>178</v>
      </c>
      <c r="C39" t="s">
        <v>152</v>
      </c>
      <c r="D39">
        <v>8</v>
      </c>
      <c r="E39">
        <v>453</v>
      </c>
      <c r="F39" s="19">
        <f t="shared" si="11"/>
        <v>0.67770419426048567</v>
      </c>
      <c r="G39">
        <v>307</v>
      </c>
      <c r="H39" s="20">
        <v>191050.75104188372</v>
      </c>
      <c r="I39" s="20">
        <v>110891.27068881014</v>
      </c>
      <c r="J39" s="20">
        <v>229372.12382498244</v>
      </c>
      <c r="K39" s="20">
        <v>121980.39775769116</v>
      </c>
      <c r="L39" s="20">
        <v>0</v>
      </c>
      <c r="M39" s="20">
        <v>89505.059196611037</v>
      </c>
      <c r="N39" s="20">
        <v>59866.796146808359</v>
      </c>
      <c r="O39" s="20">
        <v>49314.313266129648</v>
      </c>
      <c r="P39" s="20">
        <v>0</v>
      </c>
      <c r="Q39" s="20">
        <v>69924.031375330247</v>
      </c>
      <c r="R39" s="20"/>
      <c r="S39" s="20">
        <v>77625.750694703253</v>
      </c>
      <c r="T39" s="20">
        <v>60676.224767295193</v>
      </c>
      <c r="U39" s="20">
        <v>248581.58687463688</v>
      </c>
      <c r="V39" s="20">
        <v>110891.27068881014</v>
      </c>
      <c r="W39" s="20">
        <v>0</v>
      </c>
      <c r="X39" s="20">
        <v>0</v>
      </c>
      <c r="Y39" s="20">
        <v>0</v>
      </c>
      <c r="Z39" s="20">
        <v>0</v>
      </c>
      <c r="AA39" s="20"/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809506.27602831402</v>
      </c>
      <c r="AP39" s="20">
        <v>720793.25947726588</v>
      </c>
      <c r="AQ39" s="20">
        <v>765149.76775279001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/>
      <c r="AX39" s="20">
        <v>0</v>
      </c>
      <c r="AY39" s="20">
        <v>110891.27068881014</v>
      </c>
      <c r="AZ39" s="20">
        <v>332673.8120664304</v>
      </c>
      <c r="BA39" s="20">
        <v>1108912.7068881013</v>
      </c>
      <c r="BB39" s="20">
        <v>200466.94616738829</v>
      </c>
      <c r="BC39" s="20">
        <v>48327.936512970991</v>
      </c>
      <c r="BD39" s="20">
        <v>0</v>
      </c>
      <c r="BE39" s="20">
        <v>35283.586128257768</v>
      </c>
      <c r="BF39" s="20">
        <v>0</v>
      </c>
      <c r="BG39" s="20">
        <v>0</v>
      </c>
      <c r="BH39" s="21">
        <f>28640-7160</f>
        <v>21480</v>
      </c>
      <c r="BI39" s="21">
        <f>28640-7160</f>
        <v>21480</v>
      </c>
      <c r="BJ39" s="20">
        <v>10740</v>
      </c>
      <c r="BK39" s="20">
        <v>0</v>
      </c>
      <c r="BL39" s="20"/>
      <c r="BM39" s="20">
        <v>14320</v>
      </c>
      <c r="BN39" s="20">
        <v>182402.83</v>
      </c>
      <c r="BO39" s="20">
        <v>3017.65</v>
      </c>
      <c r="BP39" s="20">
        <v>0</v>
      </c>
      <c r="BQ39" s="20">
        <v>0</v>
      </c>
      <c r="BR39" s="20">
        <v>0</v>
      </c>
      <c r="BS39" s="20">
        <v>152914.74921665495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332673.8120664304</v>
      </c>
      <c r="CL39" s="20"/>
      <c r="CM39" s="20">
        <v>23000</v>
      </c>
      <c r="CN39" s="20">
        <v>5000</v>
      </c>
      <c r="CO39" s="20">
        <v>367238.58</v>
      </c>
      <c r="CP39" s="20">
        <v>100000</v>
      </c>
      <c r="CQ39" s="20">
        <v>0</v>
      </c>
      <c r="CR39" s="20">
        <v>0</v>
      </c>
      <c r="CS39" s="20">
        <v>6140</v>
      </c>
      <c r="CT39" s="20">
        <v>0</v>
      </c>
      <c r="CU39" s="20">
        <v>34271.973303167426</v>
      </c>
      <c r="CV39" s="20">
        <v>0</v>
      </c>
      <c r="CW39" s="20"/>
      <c r="CX39" s="20">
        <v>0</v>
      </c>
      <c r="CY39" s="20">
        <v>0</v>
      </c>
      <c r="CZ39" s="20">
        <v>0</v>
      </c>
      <c r="DA39" s="20">
        <v>0</v>
      </c>
      <c r="DB39" s="20">
        <v>45300</v>
      </c>
      <c r="DC39" s="20">
        <v>98810.10655900542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/>
      <c r="DJ39" s="20">
        <v>64124.998100101948</v>
      </c>
      <c r="DK39" s="22">
        <v>0</v>
      </c>
      <c r="DL39" s="20">
        <v>0</v>
      </c>
      <c r="DM39" s="20">
        <v>50000</v>
      </c>
      <c r="DN39" s="20">
        <v>7084599.8372793803</v>
      </c>
      <c r="DO39" s="20">
        <f t="shared" si="0"/>
        <v>3967301.20917403</v>
      </c>
      <c r="DP39" s="21">
        <v>709891</v>
      </c>
      <c r="DQ39" s="20">
        <f t="shared" si="20"/>
        <v>53700</v>
      </c>
      <c r="DR39" s="20">
        <f t="shared" si="21"/>
        <v>223179.7473167569</v>
      </c>
      <c r="DS39" s="20">
        <f t="shared" si="12"/>
        <v>433011.25268324313</v>
      </c>
      <c r="DT39" s="23">
        <f t="shared" si="13"/>
        <v>0.60996864685316921</v>
      </c>
      <c r="DU39" s="20">
        <f t="shared" si="22"/>
        <v>3971173.5188274221</v>
      </c>
      <c r="DV39" s="20">
        <f t="shared" si="23"/>
        <v>1801272.6723237012</v>
      </c>
      <c r="DW39" s="20">
        <f t="shared" si="24"/>
        <v>35283.586128257768</v>
      </c>
      <c r="DX39" s="20">
        <f t="shared" si="25"/>
        <v>199740.47999999998</v>
      </c>
      <c r="DY39" s="20">
        <f t="shared" si="26"/>
        <v>0</v>
      </c>
      <c r="DZ39" s="20">
        <f t="shared" si="27"/>
        <v>0</v>
      </c>
      <c r="EA39" s="20">
        <f t="shared" si="28"/>
        <v>0</v>
      </c>
      <c r="EB39" s="20">
        <f t="shared" si="29"/>
        <v>367238.58</v>
      </c>
      <c r="EC39" s="20">
        <f t="shared" si="14"/>
        <v>433011.25268324313</v>
      </c>
      <c r="ED39" s="20">
        <f t="shared" si="15"/>
        <v>53700</v>
      </c>
      <c r="EE39" s="20">
        <f t="shared" si="15"/>
        <v>223179.7473167569</v>
      </c>
      <c r="EF39" s="20">
        <f t="shared" si="16"/>
        <v>709891</v>
      </c>
      <c r="EG39" s="23">
        <f t="shared" si="17"/>
        <v>0.60996864685316921</v>
      </c>
      <c r="EH39" s="20">
        <f t="shared" si="18"/>
        <v>7084599.8372793812</v>
      </c>
    </row>
    <row r="40" spans="1:138" x14ac:dyDescent="0.25">
      <c r="A40" s="18">
        <v>258</v>
      </c>
      <c r="B40" t="s">
        <v>179</v>
      </c>
      <c r="C40" t="s">
        <v>135</v>
      </c>
      <c r="D40">
        <v>3</v>
      </c>
      <c r="E40">
        <v>356</v>
      </c>
      <c r="F40" s="19">
        <f t="shared" si="11"/>
        <v>6.741573033707865E-2</v>
      </c>
      <c r="G40">
        <v>24</v>
      </c>
      <c r="H40" s="20">
        <v>191050.75104188372</v>
      </c>
      <c r="I40" s="20">
        <v>110891.27068881014</v>
      </c>
      <c r="J40" s="20">
        <v>137623.27429498945</v>
      </c>
      <c r="K40" s="20">
        <v>0</v>
      </c>
      <c r="L40" s="20">
        <v>0</v>
      </c>
      <c r="M40" s="20">
        <v>89505.059196611037</v>
      </c>
      <c r="N40" s="20">
        <v>59866.796146808359</v>
      </c>
      <c r="O40" s="20">
        <v>0</v>
      </c>
      <c r="P40" s="20">
        <v>0</v>
      </c>
      <c r="Q40" s="20">
        <v>0</v>
      </c>
      <c r="R40" s="20"/>
      <c r="S40" s="20">
        <v>77625.750694703253</v>
      </c>
      <c r="T40" s="20">
        <v>60676.224767295193</v>
      </c>
      <c r="U40" s="20">
        <v>99432.634749854755</v>
      </c>
      <c r="V40" s="20">
        <v>110891.27068881014</v>
      </c>
      <c r="W40" s="20">
        <v>110891.27068881014</v>
      </c>
      <c r="X40" s="20">
        <v>110891.27068881014</v>
      </c>
      <c r="Y40" s="20">
        <v>110891.27068881014</v>
      </c>
      <c r="Z40" s="20">
        <v>0</v>
      </c>
      <c r="AA40" s="20"/>
      <c r="AB40" s="20">
        <v>0</v>
      </c>
      <c r="AC40" s="20">
        <v>0</v>
      </c>
      <c r="AD40" s="20">
        <v>0</v>
      </c>
      <c r="AE40" s="20">
        <v>0</v>
      </c>
      <c r="AF40" s="20">
        <v>221782.54137762028</v>
      </c>
      <c r="AG40" s="20">
        <v>66822.315389129435</v>
      </c>
      <c r="AH40" s="20">
        <v>332673.8120664304</v>
      </c>
      <c r="AI40" s="20">
        <v>100233.47308369415</v>
      </c>
      <c r="AJ40" s="20">
        <v>332673.8120664304</v>
      </c>
      <c r="AK40" s="20">
        <v>221782.54137762028</v>
      </c>
      <c r="AL40" s="20">
        <v>332673.8120664304</v>
      </c>
      <c r="AM40" s="20">
        <v>221782.54137762028</v>
      </c>
      <c r="AN40" s="20">
        <v>221782.54137762028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/>
      <c r="AX40" s="20">
        <v>0</v>
      </c>
      <c r="AY40" s="20">
        <v>110891.27068881014</v>
      </c>
      <c r="AZ40" s="20">
        <v>110891.27068881014</v>
      </c>
      <c r="BA40" s="20">
        <v>665347.6241328608</v>
      </c>
      <c r="BB40" s="20">
        <v>200466.94616738829</v>
      </c>
      <c r="BC40" s="20">
        <v>0</v>
      </c>
      <c r="BD40" s="20">
        <v>0</v>
      </c>
      <c r="BE40" s="20">
        <v>443565.08275524055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/>
      <c r="BM40" s="20">
        <v>0</v>
      </c>
      <c r="BN40" s="20">
        <v>0</v>
      </c>
      <c r="BO40" s="20">
        <v>0</v>
      </c>
      <c r="BP40" s="20">
        <v>8500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/>
      <c r="CM40" s="20">
        <v>0</v>
      </c>
      <c r="CN40" s="20">
        <v>0</v>
      </c>
      <c r="CO40" s="20">
        <v>55921.759999999995</v>
      </c>
      <c r="CP40" s="20">
        <v>0</v>
      </c>
      <c r="CQ40" s="20">
        <v>0</v>
      </c>
      <c r="CR40" s="20">
        <v>0</v>
      </c>
      <c r="CS40" s="20">
        <v>0</v>
      </c>
      <c r="CT40" s="20">
        <v>0</v>
      </c>
      <c r="CU40" s="20">
        <v>18130.348837209302</v>
      </c>
      <c r="CV40" s="20">
        <v>0</v>
      </c>
      <c r="CW40" s="20"/>
      <c r="CX40" s="20">
        <v>0</v>
      </c>
      <c r="CY40" s="20">
        <v>0</v>
      </c>
      <c r="CZ40" s="20">
        <v>0</v>
      </c>
      <c r="DA40" s="20">
        <v>0</v>
      </c>
      <c r="DB40" s="20">
        <v>35600</v>
      </c>
      <c r="DC40" s="20">
        <v>78143.063506125633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/>
      <c r="DJ40" s="20">
        <v>3325.0001147389412</v>
      </c>
      <c r="DK40" s="22">
        <v>0</v>
      </c>
      <c r="DL40" s="20">
        <v>0</v>
      </c>
      <c r="DM40" s="20">
        <v>0</v>
      </c>
      <c r="DN40" s="20">
        <v>5053226.6014099764</v>
      </c>
      <c r="DO40" s="20">
        <f t="shared" si="0"/>
        <v>3216583.0366502739</v>
      </c>
      <c r="DP40" s="21">
        <v>55496</v>
      </c>
      <c r="DQ40" s="20">
        <f t="shared" si="20"/>
        <v>0</v>
      </c>
      <c r="DR40" s="20">
        <f t="shared" si="21"/>
        <v>3325.0001147389412</v>
      </c>
      <c r="DS40" s="20">
        <f t="shared" si="12"/>
        <v>52170.999885261059</v>
      </c>
      <c r="DT40" s="23">
        <f t="shared" si="13"/>
        <v>0.94008576988001047</v>
      </c>
      <c r="DU40" s="20">
        <f t="shared" si="22"/>
        <v>3402146.6469768658</v>
      </c>
      <c r="DV40" s="20">
        <f t="shared" si="23"/>
        <v>1087597.1116778695</v>
      </c>
      <c r="DW40" s="20">
        <f t="shared" si="24"/>
        <v>443565.08275524055</v>
      </c>
      <c r="DX40" s="20">
        <f t="shared" si="25"/>
        <v>8500</v>
      </c>
      <c r="DY40" s="20">
        <f t="shared" si="26"/>
        <v>0</v>
      </c>
      <c r="DZ40" s="20">
        <f t="shared" si="27"/>
        <v>0</v>
      </c>
      <c r="EA40" s="20">
        <f t="shared" si="28"/>
        <v>0</v>
      </c>
      <c r="EB40" s="20">
        <f t="shared" si="29"/>
        <v>55921.759999999995</v>
      </c>
      <c r="EC40" s="20">
        <f t="shared" si="14"/>
        <v>52170.999885261059</v>
      </c>
      <c r="ED40" s="20">
        <f t="shared" si="15"/>
        <v>0</v>
      </c>
      <c r="EE40" s="20">
        <f t="shared" si="15"/>
        <v>3325.0001147389412</v>
      </c>
      <c r="EF40" s="20">
        <f t="shared" si="16"/>
        <v>55496</v>
      </c>
      <c r="EG40" s="23">
        <f t="shared" si="17"/>
        <v>0.94008576988001047</v>
      </c>
      <c r="EH40" s="20">
        <f t="shared" si="18"/>
        <v>5053226.6014099754</v>
      </c>
    </row>
    <row r="41" spans="1:138" x14ac:dyDescent="0.25">
      <c r="A41" s="18">
        <v>249</v>
      </c>
      <c r="B41" t="s">
        <v>180</v>
      </c>
      <c r="C41" t="s">
        <v>135</v>
      </c>
      <c r="D41">
        <v>8</v>
      </c>
      <c r="E41">
        <v>341</v>
      </c>
      <c r="F41" s="19">
        <f t="shared" si="11"/>
        <v>0.90322580645161288</v>
      </c>
      <c r="G41">
        <v>308</v>
      </c>
      <c r="H41" s="20">
        <v>191050.75104188372</v>
      </c>
      <c r="I41" s="20">
        <v>110891.27068881014</v>
      </c>
      <c r="J41" s="20">
        <v>137623.27429498945</v>
      </c>
      <c r="K41" s="20">
        <v>0</v>
      </c>
      <c r="L41" s="20">
        <v>0</v>
      </c>
      <c r="M41" s="20">
        <v>89505.059196611037</v>
      </c>
      <c r="N41" s="20">
        <v>59866.796146808359</v>
      </c>
      <c r="O41" s="20">
        <v>0</v>
      </c>
      <c r="P41" s="20">
        <v>0</v>
      </c>
      <c r="Q41" s="20">
        <v>0</v>
      </c>
      <c r="R41" s="20"/>
      <c r="S41" s="20">
        <v>77625.750694703253</v>
      </c>
      <c r="T41" s="20">
        <v>60676.224767295193</v>
      </c>
      <c r="U41" s="20">
        <v>99432.634749854755</v>
      </c>
      <c r="V41" s="20">
        <v>110891.27068881014</v>
      </c>
      <c r="W41" s="20">
        <v>110891.27068881014</v>
      </c>
      <c r="X41" s="20">
        <v>110891.27068881014</v>
      </c>
      <c r="Y41" s="20">
        <v>110891.27068881014</v>
      </c>
      <c r="Z41" s="20">
        <v>0</v>
      </c>
      <c r="AA41" s="20"/>
      <c r="AB41" s="20">
        <v>221782.54137762028</v>
      </c>
      <c r="AC41" s="20">
        <v>66822.315389129435</v>
      </c>
      <c r="AD41" s="20">
        <v>0</v>
      </c>
      <c r="AE41" s="20">
        <v>0</v>
      </c>
      <c r="AF41" s="20">
        <v>221782.54137762028</v>
      </c>
      <c r="AG41" s="20">
        <v>66822.315389129435</v>
      </c>
      <c r="AH41" s="20">
        <v>332673.8120664304</v>
      </c>
      <c r="AI41" s="20">
        <v>100233.47308369415</v>
      </c>
      <c r="AJ41" s="20">
        <v>332673.8120664304</v>
      </c>
      <c r="AK41" s="20">
        <v>221782.54137762028</v>
      </c>
      <c r="AL41" s="20">
        <v>332673.8120664304</v>
      </c>
      <c r="AM41" s="20">
        <v>221782.54137762028</v>
      </c>
      <c r="AN41" s="20">
        <v>221782.54137762028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/>
      <c r="AX41" s="20">
        <v>0</v>
      </c>
      <c r="AY41" s="20">
        <v>110891.27068881014</v>
      </c>
      <c r="AZ41" s="20">
        <v>221782.54137762028</v>
      </c>
      <c r="BA41" s="20">
        <v>443565.08275524055</v>
      </c>
      <c r="BB41" s="20">
        <v>0</v>
      </c>
      <c r="BC41" s="20">
        <v>0</v>
      </c>
      <c r="BD41" s="20">
        <v>0</v>
      </c>
      <c r="BE41" s="20">
        <v>10081.024608073649</v>
      </c>
      <c r="BF41" s="20">
        <v>0</v>
      </c>
      <c r="BG41" s="20">
        <v>0</v>
      </c>
      <c r="BH41" s="21">
        <f>42960-14320</f>
        <v>28640</v>
      </c>
      <c r="BI41" s="21">
        <f>42960-14320</f>
        <v>28640</v>
      </c>
      <c r="BJ41" s="20">
        <v>10740</v>
      </c>
      <c r="BK41" s="20">
        <v>0</v>
      </c>
      <c r="BL41" s="20"/>
      <c r="BM41" s="20">
        <v>28640</v>
      </c>
      <c r="BN41" s="20">
        <v>151718.25</v>
      </c>
      <c r="BO41" s="20">
        <v>2510.0100000000002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/>
      <c r="CM41" s="20">
        <v>0</v>
      </c>
      <c r="CN41" s="20">
        <v>0</v>
      </c>
      <c r="CO41" s="20">
        <v>111843.51999999999</v>
      </c>
      <c r="CP41" s="20">
        <v>0</v>
      </c>
      <c r="CQ41" s="20">
        <v>0</v>
      </c>
      <c r="CR41" s="20">
        <v>0</v>
      </c>
      <c r="CS41" s="20">
        <v>12320</v>
      </c>
      <c r="CT41" s="20">
        <v>0</v>
      </c>
      <c r="CU41" s="20">
        <v>19213.053235908141</v>
      </c>
      <c r="CV41" s="20">
        <v>0</v>
      </c>
      <c r="CW41" s="20"/>
      <c r="CX41" s="20">
        <v>0</v>
      </c>
      <c r="CY41" s="20">
        <v>0</v>
      </c>
      <c r="CZ41" s="20">
        <v>0</v>
      </c>
      <c r="DA41" s="20">
        <v>0</v>
      </c>
      <c r="DB41" s="20">
        <v>34100</v>
      </c>
      <c r="DC41" s="20">
        <v>70797.641072516111</v>
      </c>
      <c r="DD41" s="20">
        <v>0</v>
      </c>
      <c r="DE41" s="20">
        <v>0</v>
      </c>
      <c r="DF41" s="20">
        <v>13859</v>
      </c>
      <c r="DG41" s="20">
        <v>0</v>
      </c>
      <c r="DH41" s="20">
        <v>0</v>
      </c>
      <c r="DI41" s="20"/>
      <c r="DJ41" s="20">
        <v>38624.999776482582</v>
      </c>
      <c r="DK41" s="22">
        <v>0</v>
      </c>
      <c r="DL41" s="20">
        <v>0</v>
      </c>
      <c r="DM41" s="20">
        <v>475000</v>
      </c>
      <c r="DN41" s="20">
        <v>5424015.4848001897</v>
      </c>
      <c r="DO41" s="20">
        <f t="shared" si="0"/>
        <v>3497425.1753821131</v>
      </c>
      <c r="DP41" s="21">
        <v>712203</v>
      </c>
      <c r="DQ41" s="20">
        <f t="shared" si="20"/>
        <v>68020</v>
      </c>
      <c r="DR41" s="20">
        <f t="shared" si="21"/>
        <v>50944.999776482582</v>
      </c>
      <c r="DS41" s="20">
        <f t="shared" si="12"/>
        <v>593238.00022351742</v>
      </c>
      <c r="DT41" s="23">
        <f t="shared" si="13"/>
        <v>0.83296195076897661</v>
      </c>
      <c r="DU41" s="20">
        <f t="shared" si="22"/>
        <v>3630780.7853704486</v>
      </c>
      <c r="DV41" s="20">
        <f t="shared" si="23"/>
        <v>776238.89482167095</v>
      </c>
      <c r="DW41" s="20">
        <f t="shared" si="24"/>
        <v>10081.024608073649</v>
      </c>
      <c r="DX41" s="20">
        <f t="shared" si="25"/>
        <v>182868.26</v>
      </c>
      <c r="DY41" s="20">
        <f t="shared" si="26"/>
        <v>0</v>
      </c>
      <c r="DZ41" s="20">
        <f t="shared" si="27"/>
        <v>0</v>
      </c>
      <c r="EA41" s="20">
        <f t="shared" si="28"/>
        <v>0</v>
      </c>
      <c r="EB41" s="20">
        <f t="shared" si="29"/>
        <v>111843.51999999999</v>
      </c>
      <c r="EC41" s="20">
        <f t="shared" si="14"/>
        <v>593238.00022351742</v>
      </c>
      <c r="ED41" s="20">
        <f t="shared" si="15"/>
        <v>68020</v>
      </c>
      <c r="EE41" s="20">
        <f t="shared" si="15"/>
        <v>50944.999776482582</v>
      </c>
      <c r="EF41" s="20">
        <f t="shared" si="16"/>
        <v>712203</v>
      </c>
      <c r="EG41" s="23">
        <f t="shared" si="17"/>
        <v>0.83296195076897661</v>
      </c>
      <c r="EH41" s="20">
        <f t="shared" si="18"/>
        <v>5424015.4848001925</v>
      </c>
    </row>
    <row r="42" spans="1:138" x14ac:dyDescent="0.25">
      <c r="A42" s="18">
        <v>251</v>
      </c>
      <c r="B42" t="s">
        <v>181</v>
      </c>
      <c r="C42" t="s">
        <v>135</v>
      </c>
      <c r="D42">
        <v>7</v>
      </c>
      <c r="E42">
        <v>297</v>
      </c>
      <c r="F42" s="19">
        <f t="shared" si="11"/>
        <v>0.6835016835016835</v>
      </c>
      <c r="G42">
        <v>203</v>
      </c>
      <c r="H42" s="20">
        <v>191050.75104188372</v>
      </c>
      <c r="I42" s="20">
        <v>110891.27068881014</v>
      </c>
      <c r="J42" s="20">
        <v>0</v>
      </c>
      <c r="K42" s="20">
        <v>0</v>
      </c>
      <c r="L42" s="20">
        <v>0</v>
      </c>
      <c r="M42" s="20">
        <v>44752.529598305518</v>
      </c>
      <c r="N42" s="20">
        <v>59866.796146808359</v>
      </c>
      <c r="O42" s="20">
        <v>0</v>
      </c>
      <c r="P42" s="20">
        <v>0</v>
      </c>
      <c r="Q42" s="20">
        <v>0</v>
      </c>
      <c r="R42" s="20"/>
      <c r="S42" s="20">
        <v>77625.750694703253</v>
      </c>
      <c r="T42" s="20">
        <v>60676.224767295193</v>
      </c>
      <c r="U42" s="20">
        <v>49716.317374927377</v>
      </c>
      <c r="V42" s="20">
        <v>55445.635344405069</v>
      </c>
      <c r="W42" s="20">
        <v>110891.27068881014</v>
      </c>
      <c r="X42" s="20">
        <v>110891.27068881014</v>
      </c>
      <c r="Y42" s="20">
        <v>110891.27068881014</v>
      </c>
      <c r="Z42" s="20">
        <v>0</v>
      </c>
      <c r="AA42" s="20"/>
      <c r="AB42" s="20">
        <v>221782.54137762028</v>
      </c>
      <c r="AC42" s="20">
        <v>66822.315389129435</v>
      </c>
      <c r="AD42" s="20">
        <v>0</v>
      </c>
      <c r="AE42" s="20">
        <v>0</v>
      </c>
      <c r="AF42" s="20">
        <v>221782.54137762028</v>
      </c>
      <c r="AG42" s="20">
        <v>66822.315389129435</v>
      </c>
      <c r="AH42" s="20">
        <v>221782.54137762028</v>
      </c>
      <c r="AI42" s="20">
        <v>66822.315389129435</v>
      </c>
      <c r="AJ42" s="20">
        <v>221782.54137762028</v>
      </c>
      <c r="AK42" s="20">
        <v>221782.54137762028</v>
      </c>
      <c r="AL42" s="20">
        <v>221782.54137762028</v>
      </c>
      <c r="AM42" s="20">
        <v>221782.54137762028</v>
      </c>
      <c r="AN42" s="20">
        <v>221782.54137762028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/>
      <c r="AX42" s="20">
        <v>0</v>
      </c>
      <c r="AY42" s="20">
        <v>110891.27068881014</v>
      </c>
      <c r="AZ42" s="20">
        <v>110891.27068881014</v>
      </c>
      <c r="BA42" s="20">
        <v>998021.43619929126</v>
      </c>
      <c r="BB42" s="20">
        <v>400933.89233477658</v>
      </c>
      <c r="BC42" s="20">
        <v>0</v>
      </c>
      <c r="BD42" s="20">
        <v>114084.97559574516</v>
      </c>
      <c r="BE42" s="20">
        <v>110891.27068881014</v>
      </c>
      <c r="BF42" s="20">
        <v>0</v>
      </c>
      <c r="BG42" s="20">
        <v>0</v>
      </c>
      <c r="BH42" s="21">
        <f>35800-14320</f>
        <v>21480</v>
      </c>
      <c r="BI42" s="21">
        <f>35800-14320</f>
        <v>21480</v>
      </c>
      <c r="BJ42" s="20">
        <v>10740</v>
      </c>
      <c r="BK42" s="20">
        <v>0</v>
      </c>
      <c r="BL42" s="20"/>
      <c r="BM42" s="20">
        <v>28640</v>
      </c>
      <c r="BN42" s="20">
        <v>116771.91</v>
      </c>
      <c r="BO42" s="20">
        <v>1931.86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/>
      <c r="CM42" s="20">
        <v>0</v>
      </c>
      <c r="CN42" s="20">
        <v>0</v>
      </c>
      <c r="CO42" s="20">
        <v>111843.51999999999</v>
      </c>
      <c r="CP42" s="20">
        <v>0</v>
      </c>
      <c r="CQ42" s="20">
        <v>0</v>
      </c>
      <c r="CR42" s="20">
        <v>0</v>
      </c>
      <c r="CS42" s="20">
        <v>4060</v>
      </c>
      <c r="CT42" s="20">
        <v>49680</v>
      </c>
      <c r="CU42" s="20">
        <v>16904.447494033411</v>
      </c>
      <c r="CV42" s="20">
        <v>0</v>
      </c>
      <c r="CW42" s="20"/>
      <c r="CX42" s="20">
        <v>0</v>
      </c>
      <c r="CY42" s="20">
        <v>0</v>
      </c>
      <c r="CZ42" s="20">
        <v>0</v>
      </c>
      <c r="DA42" s="20">
        <v>0</v>
      </c>
      <c r="DB42" s="20">
        <v>29700</v>
      </c>
      <c r="DC42" s="20">
        <v>78130.409745841433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/>
      <c r="DJ42" s="20">
        <v>17224.999457597733</v>
      </c>
      <c r="DK42" s="22">
        <v>0</v>
      </c>
      <c r="DL42" s="20">
        <v>0</v>
      </c>
      <c r="DM42" s="20">
        <v>0</v>
      </c>
      <c r="DN42" s="20">
        <v>5311727.6278056353</v>
      </c>
      <c r="DO42" s="20">
        <f t="shared" si="0"/>
        <v>2894142.9293148681</v>
      </c>
      <c r="DP42" s="21">
        <v>469407</v>
      </c>
      <c r="DQ42" s="20">
        <f t="shared" si="20"/>
        <v>53700</v>
      </c>
      <c r="DR42" s="20">
        <f t="shared" si="21"/>
        <v>70964.999457597733</v>
      </c>
      <c r="DS42" s="20">
        <f t="shared" si="12"/>
        <v>344742.00054240227</v>
      </c>
      <c r="DT42" s="23">
        <f t="shared" si="13"/>
        <v>0.7344202377518918</v>
      </c>
      <c r="DU42" s="20">
        <f t="shared" si="22"/>
        <v>2737419.2216093917</v>
      </c>
      <c r="DV42" s="20">
        <f t="shared" si="23"/>
        <v>1734822.8455074332</v>
      </c>
      <c r="DW42" s="20">
        <f t="shared" si="24"/>
        <v>110891.27068881014</v>
      </c>
      <c r="DX42" s="20">
        <f t="shared" si="25"/>
        <v>147343.76999999999</v>
      </c>
      <c r="DY42" s="20">
        <f t="shared" si="26"/>
        <v>0</v>
      </c>
      <c r="DZ42" s="20">
        <f t="shared" si="27"/>
        <v>0</v>
      </c>
      <c r="EA42" s="20">
        <f t="shared" si="28"/>
        <v>0</v>
      </c>
      <c r="EB42" s="20">
        <f t="shared" si="29"/>
        <v>111843.51999999999</v>
      </c>
      <c r="EC42" s="20">
        <f t="shared" si="14"/>
        <v>344742.00054240227</v>
      </c>
      <c r="ED42" s="20">
        <f t="shared" si="15"/>
        <v>53700</v>
      </c>
      <c r="EE42" s="20">
        <f t="shared" si="15"/>
        <v>70964.999457597733</v>
      </c>
      <c r="EF42" s="20">
        <f t="shared" si="16"/>
        <v>469407</v>
      </c>
      <c r="EG42" s="23">
        <f t="shared" si="17"/>
        <v>0.7344202377518918</v>
      </c>
      <c r="EH42" s="20">
        <f t="shared" si="18"/>
        <v>5311727.6278056344</v>
      </c>
    </row>
    <row r="43" spans="1:138" x14ac:dyDescent="0.25">
      <c r="A43" s="18">
        <v>252</v>
      </c>
      <c r="B43" t="s">
        <v>182</v>
      </c>
      <c r="C43" t="s">
        <v>135</v>
      </c>
      <c r="D43">
        <v>2</v>
      </c>
      <c r="E43">
        <v>401</v>
      </c>
      <c r="F43" s="19">
        <f t="shared" si="11"/>
        <v>0.10224438902743142</v>
      </c>
      <c r="G43">
        <v>41</v>
      </c>
      <c r="H43" s="20">
        <v>191050.75104188372</v>
      </c>
      <c r="I43" s="20">
        <v>110891.27068881014</v>
      </c>
      <c r="J43" s="20">
        <v>152914.74921665495</v>
      </c>
      <c r="K43" s="20">
        <v>0</v>
      </c>
      <c r="L43" s="20">
        <v>0</v>
      </c>
      <c r="M43" s="20">
        <v>89505.059196611037</v>
      </c>
      <c r="N43" s="20">
        <v>59866.796146808359</v>
      </c>
      <c r="O43" s="20">
        <v>44831.193878299673</v>
      </c>
      <c r="P43" s="20">
        <v>0</v>
      </c>
      <c r="Q43" s="20">
        <v>0</v>
      </c>
      <c r="R43" s="20"/>
      <c r="S43" s="20">
        <v>77625.750694703253</v>
      </c>
      <c r="T43" s="20">
        <v>60676.224767295193</v>
      </c>
      <c r="U43" s="20">
        <v>99432.634749854755</v>
      </c>
      <c r="V43" s="20">
        <v>110891.27068881014</v>
      </c>
      <c r="W43" s="20">
        <v>110891.27068881014</v>
      </c>
      <c r="X43" s="20">
        <v>110891.27068881014</v>
      </c>
      <c r="Y43" s="20">
        <v>110891.27068881014</v>
      </c>
      <c r="Z43" s="20">
        <v>166336.9060332152</v>
      </c>
      <c r="AA43" s="20"/>
      <c r="AB43" s="20">
        <v>110891.27068881014</v>
      </c>
      <c r="AC43" s="20">
        <v>33411.157694564718</v>
      </c>
      <c r="AD43" s="20">
        <v>0</v>
      </c>
      <c r="AE43" s="20">
        <v>0</v>
      </c>
      <c r="AF43" s="20">
        <v>221782.54137762028</v>
      </c>
      <c r="AG43" s="20">
        <v>66822.315389129435</v>
      </c>
      <c r="AH43" s="20">
        <v>332673.8120664304</v>
      </c>
      <c r="AI43" s="20">
        <v>100233.47308369415</v>
      </c>
      <c r="AJ43" s="20">
        <v>332673.8120664304</v>
      </c>
      <c r="AK43" s="20">
        <v>332673.8120664304</v>
      </c>
      <c r="AL43" s="20">
        <v>332673.8120664304</v>
      </c>
      <c r="AM43" s="20">
        <v>221782.54137762028</v>
      </c>
      <c r="AN43" s="20">
        <v>221782.54137762028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/>
      <c r="AX43" s="20">
        <v>0</v>
      </c>
      <c r="AY43" s="20">
        <v>55445.635344405069</v>
      </c>
      <c r="AZ43" s="20">
        <v>110891.27068881014</v>
      </c>
      <c r="BA43" s="20">
        <v>332673.8120664304</v>
      </c>
      <c r="BB43" s="20">
        <v>0</v>
      </c>
      <c r="BC43" s="20">
        <v>0</v>
      </c>
      <c r="BD43" s="20">
        <v>0</v>
      </c>
      <c r="BE43" s="20">
        <v>221782.54137762028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/>
      <c r="BM43" s="20">
        <v>0</v>
      </c>
      <c r="BN43" s="20">
        <v>0</v>
      </c>
      <c r="BO43" s="20">
        <v>0</v>
      </c>
      <c r="BP43" s="20">
        <v>9425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/>
      <c r="CM43" s="20">
        <v>0</v>
      </c>
      <c r="CN43" s="20">
        <v>0</v>
      </c>
      <c r="CO43" s="20">
        <v>111843.51999999999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20105.037688442211</v>
      </c>
      <c r="CV43" s="20">
        <v>0</v>
      </c>
      <c r="CW43" s="20"/>
      <c r="CX43" s="20">
        <v>0</v>
      </c>
      <c r="CY43" s="20">
        <v>0</v>
      </c>
      <c r="CZ43" s="20">
        <v>0</v>
      </c>
      <c r="DA43" s="20">
        <v>0</v>
      </c>
      <c r="DB43" s="20">
        <v>40100</v>
      </c>
      <c r="DC43" s="20">
        <v>72850.741363212903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/>
      <c r="DJ43" s="20">
        <v>4374.999950453639</v>
      </c>
      <c r="DK43" s="22">
        <v>0</v>
      </c>
      <c r="DL43" s="20">
        <v>0</v>
      </c>
      <c r="DM43" s="20">
        <v>0</v>
      </c>
      <c r="DN43" s="20">
        <v>4783590.0669035306</v>
      </c>
      <c r="DO43" s="20">
        <f t="shared" si="0"/>
        <v>3699418.6772639588</v>
      </c>
      <c r="DP43" s="21">
        <v>94806</v>
      </c>
      <c r="DQ43" s="20">
        <f t="shared" si="20"/>
        <v>0</v>
      </c>
      <c r="DR43" s="20">
        <f t="shared" si="21"/>
        <v>4374.999950453639</v>
      </c>
      <c r="DS43" s="20">
        <f t="shared" si="12"/>
        <v>90431.000049546361</v>
      </c>
      <c r="DT43" s="23">
        <f t="shared" si="13"/>
        <v>0.9538531321809417</v>
      </c>
      <c r="DU43" s="20">
        <f t="shared" si="22"/>
        <v>3846722.2874262654</v>
      </c>
      <c r="DV43" s="20">
        <f t="shared" si="23"/>
        <v>499010.71809964557</v>
      </c>
      <c r="DW43" s="20">
        <f t="shared" si="24"/>
        <v>221782.54137762028</v>
      </c>
      <c r="DX43" s="20">
        <f t="shared" si="25"/>
        <v>9425</v>
      </c>
      <c r="DY43" s="20">
        <f t="shared" si="26"/>
        <v>0</v>
      </c>
      <c r="DZ43" s="20">
        <f t="shared" si="27"/>
        <v>0</v>
      </c>
      <c r="EA43" s="20">
        <f t="shared" si="28"/>
        <v>0</v>
      </c>
      <c r="EB43" s="20">
        <f t="shared" si="29"/>
        <v>111843.51999999999</v>
      </c>
      <c r="EC43" s="20">
        <f t="shared" si="14"/>
        <v>90431.000049546361</v>
      </c>
      <c r="ED43" s="20">
        <f t="shared" si="15"/>
        <v>0</v>
      </c>
      <c r="EE43" s="20">
        <f t="shared" si="15"/>
        <v>4374.999950453639</v>
      </c>
      <c r="EF43" s="20">
        <f t="shared" si="16"/>
        <v>94806</v>
      </c>
      <c r="EG43" s="23">
        <f t="shared" si="17"/>
        <v>0.9538531321809417</v>
      </c>
      <c r="EH43" s="20">
        <f t="shared" si="18"/>
        <v>4783590.0669035306</v>
      </c>
    </row>
    <row r="44" spans="1:138" x14ac:dyDescent="0.25">
      <c r="A44" s="18">
        <v>950</v>
      </c>
      <c r="B44" t="s">
        <v>183</v>
      </c>
      <c r="C44" t="s">
        <v>184</v>
      </c>
      <c r="D44">
        <v>7</v>
      </c>
      <c r="E44">
        <v>44</v>
      </c>
      <c r="F44" s="19">
        <f t="shared" si="11"/>
        <v>0</v>
      </c>
      <c r="G44">
        <v>0</v>
      </c>
      <c r="H44" s="20">
        <v>0</v>
      </c>
      <c r="I44" s="20">
        <v>55445.635344405069</v>
      </c>
      <c r="J44" s="20">
        <v>0</v>
      </c>
      <c r="K44" s="20">
        <v>0</v>
      </c>
      <c r="L44" s="20">
        <v>124758.86087554789</v>
      </c>
      <c r="M44" s="20">
        <v>44752.529598305518</v>
      </c>
      <c r="N44" s="20">
        <v>59866.796146808359</v>
      </c>
      <c r="O44" s="20">
        <v>0</v>
      </c>
      <c r="P44" s="20">
        <v>0</v>
      </c>
      <c r="Q44" s="20">
        <v>0</v>
      </c>
      <c r="R44" s="20"/>
      <c r="S44" s="20">
        <v>0</v>
      </c>
      <c r="T44" s="20">
        <v>0</v>
      </c>
      <c r="U44" s="20">
        <v>0</v>
      </c>
      <c r="V44" s="20">
        <v>55445.635344405069</v>
      </c>
      <c r="W44" s="20">
        <v>0</v>
      </c>
      <c r="X44" s="20">
        <v>0</v>
      </c>
      <c r="Y44" s="20">
        <v>0</v>
      </c>
      <c r="Z44" s="20">
        <v>55445.635344405069</v>
      </c>
      <c r="AA44" s="20"/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110891.27068881014</v>
      </c>
      <c r="AS44" s="20">
        <v>110891.27068881014</v>
      </c>
      <c r="AT44" s="20">
        <v>110891.27068881014</v>
      </c>
      <c r="AU44" s="20">
        <v>110891.27068881014</v>
      </c>
      <c r="AV44" s="20">
        <v>0</v>
      </c>
      <c r="AW44" s="20"/>
      <c r="AX44" s="20">
        <v>0</v>
      </c>
      <c r="AY44" s="20">
        <v>55445.635344405069</v>
      </c>
      <c r="AZ44" s="20">
        <v>221782.54137762028</v>
      </c>
      <c r="BA44" s="20">
        <v>554456.35344405065</v>
      </c>
      <c r="BB44" s="20">
        <v>0</v>
      </c>
      <c r="BC44" s="20">
        <v>0</v>
      </c>
      <c r="BD44" s="20">
        <v>0</v>
      </c>
      <c r="BE44" s="20">
        <v>10081.024608073649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/>
      <c r="BL44" s="20">
        <v>25000</v>
      </c>
      <c r="BM44" s="20"/>
      <c r="BN44" s="20">
        <v>0</v>
      </c>
      <c r="BO44" s="20">
        <v>0</v>
      </c>
      <c r="BP44" s="20">
        <v>1100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/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7439</v>
      </c>
      <c r="CV44" s="20">
        <v>0</v>
      </c>
      <c r="CW44" s="20"/>
      <c r="CX44" s="20">
        <v>0</v>
      </c>
      <c r="CY44" s="20">
        <v>0</v>
      </c>
      <c r="CZ44" s="20">
        <v>0</v>
      </c>
      <c r="DA44" s="20">
        <v>0</v>
      </c>
      <c r="DB44" s="20">
        <v>4400</v>
      </c>
      <c r="DC44" s="20">
        <v>27064.836255950602</v>
      </c>
      <c r="DD44" s="20">
        <v>0</v>
      </c>
      <c r="DE44" s="20">
        <v>186871.27068881001</v>
      </c>
      <c r="DF44" s="20">
        <v>0</v>
      </c>
      <c r="DG44" s="20">
        <v>0</v>
      </c>
      <c r="DH44" s="20">
        <v>0</v>
      </c>
      <c r="DI44" s="20"/>
      <c r="DJ44" s="20">
        <v>0</v>
      </c>
      <c r="DK44" s="22">
        <v>0</v>
      </c>
      <c r="DL44" s="20">
        <v>0</v>
      </c>
      <c r="DM44" s="20">
        <v>0</v>
      </c>
      <c r="DN44" s="20">
        <v>1932920.837128028</v>
      </c>
      <c r="DO44" s="20">
        <f t="shared" si="0"/>
        <v>878184.01166506822</v>
      </c>
      <c r="DP44" s="21">
        <v>0</v>
      </c>
      <c r="DQ44" s="20">
        <f t="shared" si="20"/>
        <v>0</v>
      </c>
      <c r="DR44" s="20">
        <f t="shared" si="21"/>
        <v>0</v>
      </c>
      <c r="DS44" s="20">
        <f t="shared" si="12"/>
        <v>0</v>
      </c>
      <c r="DT44" s="24" t="s">
        <v>142</v>
      </c>
      <c r="DU44" s="20">
        <f t="shared" si="22"/>
        <v>903184.01166506822</v>
      </c>
      <c r="DV44" s="20">
        <f t="shared" si="23"/>
        <v>831684.53016607603</v>
      </c>
      <c r="DW44" s="20">
        <f t="shared" si="24"/>
        <v>10081.024608073649</v>
      </c>
      <c r="DX44" s="20">
        <f t="shared" si="25"/>
        <v>1100</v>
      </c>
      <c r="DY44" s="20">
        <f t="shared" si="26"/>
        <v>186871.27068881001</v>
      </c>
      <c r="DZ44" s="20">
        <f t="shared" si="27"/>
        <v>0</v>
      </c>
      <c r="EA44" s="20">
        <f t="shared" si="28"/>
        <v>0</v>
      </c>
      <c r="EB44" s="20">
        <f t="shared" si="29"/>
        <v>0</v>
      </c>
      <c r="EC44" s="20">
        <f t="shared" si="14"/>
        <v>0</v>
      </c>
      <c r="ED44" s="20">
        <f t="shared" si="15"/>
        <v>0</v>
      </c>
      <c r="EE44" s="20">
        <f t="shared" si="15"/>
        <v>0</v>
      </c>
      <c r="EF44" s="20">
        <f t="shared" si="16"/>
        <v>0</v>
      </c>
      <c r="EG44" s="24" t="s">
        <v>142</v>
      </c>
      <c r="EH44" s="20">
        <f t="shared" si="18"/>
        <v>1932920.8371280278</v>
      </c>
    </row>
    <row r="45" spans="1:138" x14ac:dyDescent="0.25">
      <c r="A45" s="18">
        <v>339</v>
      </c>
      <c r="B45" t="s">
        <v>185</v>
      </c>
      <c r="C45" t="s">
        <v>135</v>
      </c>
      <c r="D45">
        <v>6</v>
      </c>
      <c r="E45">
        <v>455</v>
      </c>
      <c r="F45" s="19">
        <f t="shared" si="11"/>
        <v>0.49890109890109891</v>
      </c>
      <c r="G45">
        <v>227</v>
      </c>
      <c r="H45" s="20">
        <v>191050.75104188372</v>
      </c>
      <c r="I45" s="20">
        <v>110891.27068881014</v>
      </c>
      <c r="J45" s="20">
        <v>168206.22413832045</v>
      </c>
      <c r="K45" s="20">
        <v>0</v>
      </c>
      <c r="L45" s="20">
        <v>0</v>
      </c>
      <c r="M45" s="20">
        <v>89505.059196611037</v>
      </c>
      <c r="N45" s="20">
        <v>59866.796146808359</v>
      </c>
      <c r="O45" s="20">
        <v>49314.313266129648</v>
      </c>
      <c r="P45" s="20">
        <v>0</v>
      </c>
      <c r="Q45" s="20">
        <v>0</v>
      </c>
      <c r="R45" s="20"/>
      <c r="S45" s="20">
        <v>77625.750694703253</v>
      </c>
      <c r="T45" s="20">
        <v>60676.224767295193</v>
      </c>
      <c r="U45" s="20">
        <v>99432.634749854755</v>
      </c>
      <c r="V45" s="20">
        <v>110891.27068881014</v>
      </c>
      <c r="W45" s="20">
        <v>110891.27068881014</v>
      </c>
      <c r="X45" s="20">
        <v>110891.27068881014</v>
      </c>
      <c r="Y45" s="20">
        <v>110891.27068881014</v>
      </c>
      <c r="Z45" s="20">
        <v>166336.9060332152</v>
      </c>
      <c r="AA45" s="20"/>
      <c r="AB45" s="20">
        <v>332673.8120664304</v>
      </c>
      <c r="AC45" s="20">
        <v>100233.47308369415</v>
      </c>
      <c r="AD45" s="20">
        <v>110891.27068881014</v>
      </c>
      <c r="AE45" s="20">
        <v>66822.315389129435</v>
      </c>
      <c r="AF45" s="20">
        <v>332673.8120664304</v>
      </c>
      <c r="AG45" s="20">
        <v>100233.47308369415</v>
      </c>
      <c r="AH45" s="20">
        <v>443565.08275524055</v>
      </c>
      <c r="AI45" s="20">
        <v>133644.63077825887</v>
      </c>
      <c r="AJ45" s="20">
        <v>332673.8120664304</v>
      </c>
      <c r="AK45" s="20">
        <v>332673.8120664304</v>
      </c>
      <c r="AL45" s="20">
        <v>332673.8120664304</v>
      </c>
      <c r="AM45" s="20">
        <v>332673.8120664304</v>
      </c>
      <c r="AN45" s="20">
        <v>332673.8120664304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/>
      <c r="AX45" s="20">
        <v>0</v>
      </c>
      <c r="AY45" s="20">
        <v>110891.27068881014</v>
      </c>
      <c r="AZ45" s="20">
        <v>221782.54137762028</v>
      </c>
      <c r="BA45" s="20">
        <v>998021.43619929126</v>
      </c>
      <c r="BB45" s="20">
        <v>100233.47308369415</v>
      </c>
      <c r="BC45" s="20">
        <v>0</v>
      </c>
      <c r="BD45" s="20">
        <v>0</v>
      </c>
      <c r="BE45" s="20">
        <v>110891.27068881014</v>
      </c>
      <c r="BF45" s="20">
        <v>0</v>
      </c>
      <c r="BG45" s="20">
        <v>0</v>
      </c>
      <c r="BH45" s="21">
        <f t="shared" ref="BH45:BI45" si="30">35800-14320</f>
        <v>21480</v>
      </c>
      <c r="BI45" s="21">
        <f t="shared" si="30"/>
        <v>21480</v>
      </c>
      <c r="BJ45" s="20">
        <v>0</v>
      </c>
      <c r="BK45" s="20">
        <v>0</v>
      </c>
      <c r="BL45" s="20"/>
      <c r="BM45" s="20">
        <v>28640</v>
      </c>
      <c r="BN45" s="20">
        <v>199023.65</v>
      </c>
      <c r="BO45" s="20">
        <v>3292.62</v>
      </c>
      <c r="BP45" s="20">
        <v>0</v>
      </c>
      <c r="BQ45" s="20">
        <v>0</v>
      </c>
      <c r="BR45" s="20">
        <v>0</v>
      </c>
      <c r="BS45" s="20">
        <v>0</v>
      </c>
      <c r="BT45" s="20">
        <v>110891.27068881014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/>
      <c r="CM45" s="20">
        <v>0</v>
      </c>
      <c r="CN45" s="20">
        <v>0</v>
      </c>
      <c r="CO45" s="20">
        <v>111843.51999999999</v>
      </c>
      <c r="CP45" s="20">
        <v>0</v>
      </c>
      <c r="CQ45" s="20">
        <v>0</v>
      </c>
      <c r="CR45" s="20">
        <v>0</v>
      </c>
      <c r="CS45" s="20">
        <v>4540</v>
      </c>
      <c r="CT45" s="20">
        <v>0</v>
      </c>
      <c r="CU45" s="20">
        <v>25724.416179337233</v>
      </c>
      <c r="CV45" s="20">
        <v>0</v>
      </c>
      <c r="CW45" s="20"/>
      <c r="CX45" s="20">
        <v>0</v>
      </c>
      <c r="CY45" s="20">
        <v>0</v>
      </c>
      <c r="CZ45" s="20">
        <v>0</v>
      </c>
      <c r="DA45" s="20">
        <v>0</v>
      </c>
      <c r="DB45" s="20">
        <v>45500</v>
      </c>
      <c r="DC45" s="20">
        <v>103897.95622384096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/>
      <c r="DJ45" s="20">
        <v>21725.000036880374</v>
      </c>
      <c r="DK45" s="22">
        <v>0</v>
      </c>
      <c r="DL45" s="20">
        <v>0</v>
      </c>
      <c r="DM45" s="20">
        <v>0</v>
      </c>
      <c r="DN45" s="20">
        <v>7040436.3688898068</v>
      </c>
      <c r="DO45" s="20">
        <f t="shared" si="0"/>
        <v>4737965.7059140364</v>
      </c>
      <c r="DP45" s="21">
        <v>524903</v>
      </c>
      <c r="DQ45" s="20">
        <f t="shared" si="20"/>
        <v>42960</v>
      </c>
      <c r="DR45" s="20">
        <f t="shared" si="21"/>
        <v>137156.27072569053</v>
      </c>
      <c r="DS45" s="20">
        <f t="shared" si="12"/>
        <v>344786.72927430947</v>
      </c>
      <c r="DT45" s="23">
        <f t="shared" si="13"/>
        <v>0.6568579895224631</v>
      </c>
      <c r="DU45" s="20">
        <f t="shared" si="22"/>
        <v>4630913.5868515801</v>
      </c>
      <c r="DV45" s="20">
        <f t="shared" si="23"/>
        <v>1430928.7213494158</v>
      </c>
      <c r="DW45" s="20">
        <f t="shared" si="24"/>
        <v>110891.27068881014</v>
      </c>
      <c r="DX45" s="20">
        <f t="shared" si="25"/>
        <v>230956.27</v>
      </c>
      <c r="DY45" s="20">
        <f t="shared" si="26"/>
        <v>0</v>
      </c>
      <c r="DZ45" s="20">
        <f t="shared" si="27"/>
        <v>0</v>
      </c>
      <c r="EA45" s="20">
        <f t="shared" si="28"/>
        <v>0</v>
      </c>
      <c r="EB45" s="20">
        <f t="shared" si="29"/>
        <v>111843.51999999999</v>
      </c>
      <c r="EC45" s="20">
        <f t="shared" si="14"/>
        <v>344786.72927430947</v>
      </c>
      <c r="ED45" s="20">
        <f t="shared" si="15"/>
        <v>42960</v>
      </c>
      <c r="EE45" s="20">
        <f t="shared" si="15"/>
        <v>137156.27072569053</v>
      </c>
      <c r="EF45" s="20">
        <f t="shared" si="16"/>
        <v>524903</v>
      </c>
      <c r="EG45" s="23">
        <f t="shared" si="17"/>
        <v>0.6568579895224631</v>
      </c>
      <c r="EH45" s="20">
        <f t="shared" si="18"/>
        <v>7040436.3688898059</v>
      </c>
    </row>
    <row r="46" spans="1:138" x14ac:dyDescent="0.25">
      <c r="A46" s="18">
        <v>254</v>
      </c>
      <c r="B46" t="s">
        <v>186</v>
      </c>
      <c r="C46" t="s">
        <v>135</v>
      </c>
      <c r="D46">
        <v>3</v>
      </c>
      <c r="E46">
        <v>756</v>
      </c>
      <c r="F46" s="19">
        <f t="shared" si="11"/>
        <v>2.5132275132275131E-2</v>
      </c>
      <c r="G46">
        <v>19</v>
      </c>
      <c r="H46" s="20">
        <v>191050.75104188372</v>
      </c>
      <c r="I46" s="20">
        <v>110891.27068881014</v>
      </c>
      <c r="J46" s="20">
        <v>290538.02351164439</v>
      </c>
      <c r="K46" s="20">
        <v>0</v>
      </c>
      <c r="L46" s="20">
        <v>0</v>
      </c>
      <c r="M46" s="20">
        <v>89505.059196611037</v>
      </c>
      <c r="N46" s="20">
        <v>59866.796146808359</v>
      </c>
      <c r="O46" s="20">
        <v>85179.268368769379</v>
      </c>
      <c r="P46" s="20">
        <v>0</v>
      </c>
      <c r="Q46" s="20">
        <v>0</v>
      </c>
      <c r="R46" s="20"/>
      <c r="S46" s="20">
        <v>77625.750694703253</v>
      </c>
      <c r="T46" s="20">
        <v>60676.224767295193</v>
      </c>
      <c r="U46" s="20">
        <v>149148.95212478214</v>
      </c>
      <c r="V46" s="20">
        <v>110891.27068881014</v>
      </c>
      <c r="W46" s="20">
        <v>110891.27068881014</v>
      </c>
      <c r="X46" s="20">
        <v>110891.27068881014</v>
      </c>
      <c r="Y46" s="20">
        <v>110891.27068881014</v>
      </c>
      <c r="Z46" s="20">
        <v>388119.44741083548</v>
      </c>
      <c r="AA46" s="20"/>
      <c r="AB46" s="20">
        <v>0</v>
      </c>
      <c r="AC46" s="20">
        <v>0</v>
      </c>
      <c r="AD46" s="20">
        <v>0</v>
      </c>
      <c r="AE46" s="20">
        <v>0</v>
      </c>
      <c r="AF46" s="20">
        <v>332673.8120664304</v>
      </c>
      <c r="AG46" s="20">
        <v>100233.47308369415</v>
      </c>
      <c r="AH46" s="20">
        <v>554456.35344405065</v>
      </c>
      <c r="AI46" s="20">
        <v>167055.78847282359</v>
      </c>
      <c r="AJ46" s="20">
        <v>554456.35344405065</v>
      </c>
      <c r="AK46" s="20">
        <v>554456.35344405065</v>
      </c>
      <c r="AL46" s="20">
        <v>665347.6241328608</v>
      </c>
      <c r="AM46" s="20">
        <v>554456.35344405065</v>
      </c>
      <c r="AN46" s="20">
        <v>554456.35344405065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/>
      <c r="AX46" s="20">
        <v>0</v>
      </c>
      <c r="AY46" s="20">
        <v>110891.27068881014</v>
      </c>
      <c r="AZ46" s="20">
        <v>110891.27068881014</v>
      </c>
      <c r="BA46" s="20">
        <v>665347.6241328608</v>
      </c>
      <c r="BB46" s="20">
        <v>0</v>
      </c>
      <c r="BC46" s="20">
        <v>0</v>
      </c>
      <c r="BD46" s="20">
        <v>0</v>
      </c>
      <c r="BE46" s="20">
        <v>166336.9060332152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/>
      <c r="BM46" s="20">
        <v>0</v>
      </c>
      <c r="BN46" s="20">
        <v>0</v>
      </c>
      <c r="BO46" s="20">
        <v>0</v>
      </c>
      <c r="BP46" s="20">
        <v>18800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/>
      <c r="CM46" s="20">
        <v>0</v>
      </c>
      <c r="CN46" s="20">
        <v>0</v>
      </c>
      <c r="CO46" s="20">
        <v>111843.51999999999</v>
      </c>
      <c r="CP46" s="20">
        <v>0</v>
      </c>
      <c r="CQ46" s="20">
        <v>0</v>
      </c>
      <c r="CR46" s="20">
        <v>0</v>
      </c>
      <c r="CS46" s="20">
        <v>0</v>
      </c>
      <c r="CT46" s="20">
        <v>0</v>
      </c>
      <c r="CU46" s="20">
        <v>38248.725761772854</v>
      </c>
      <c r="CV46" s="20">
        <v>0</v>
      </c>
      <c r="CW46" s="20"/>
      <c r="CX46" s="20">
        <v>0</v>
      </c>
      <c r="CY46" s="20">
        <v>0</v>
      </c>
      <c r="CZ46" s="20">
        <v>0</v>
      </c>
      <c r="DA46" s="20">
        <v>0</v>
      </c>
      <c r="DB46" s="20">
        <v>75600</v>
      </c>
      <c r="DC46" s="20">
        <v>113299.34122795697</v>
      </c>
      <c r="DD46" s="20">
        <v>486182.2497831285</v>
      </c>
      <c r="DE46" s="20">
        <v>0</v>
      </c>
      <c r="DF46" s="20">
        <v>0</v>
      </c>
      <c r="DG46" s="20">
        <v>0</v>
      </c>
      <c r="DH46" s="20">
        <v>0</v>
      </c>
      <c r="DI46" s="20"/>
      <c r="DJ46" s="20">
        <v>1400.0000079860911</v>
      </c>
      <c r="DK46" s="22">
        <v>0</v>
      </c>
      <c r="DL46" s="20">
        <v>0</v>
      </c>
      <c r="DM46" s="20">
        <v>0</v>
      </c>
      <c r="DN46" s="20">
        <v>7882600.0000079861</v>
      </c>
      <c r="DO46" s="20">
        <f t="shared" si="0"/>
        <v>5923456.2310863957</v>
      </c>
      <c r="DP46" s="21">
        <v>43935</v>
      </c>
      <c r="DQ46" s="20">
        <f t="shared" si="20"/>
        <v>0</v>
      </c>
      <c r="DR46" s="20">
        <f t="shared" si="21"/>
        <v>1400.0000079860911</v>
      </c>
      <c r="DS46" s="20">
        <f t="shared" si="12"/>
        <v>42534.999992013909</v>
      </c>
      <c r="DT46" s="23">
        <f t="shared" si="13"/>
        <v>0.96813474432716307</v>
      </c>
      <c r="DU46" s="20">
        <f t="shared" si="22"/>
        <v>6168372.1586811626</v>
      </c>
      <c r="DV46" s="20">
        <f t="shared" si="23"/>
        <v>887130.16551048111</v>
      </c>
      <c r="DW46" s="20">
        <f t="shared" si="24"/>
        <v>166336.9060332152</v>
      </c>
      <c r="DX46" s="20">
        <f t="shared" si="25"/>
        <v>18800</v>
      </c>
      <c r="DY46" s="20">
        <f t="shared" si="26"/>
        <v>0</v>
      </c>
      <c r="DZ46" s="20">
        <f t="shared" si="27"/>
        <v>486182.2497831285</v>
      </c>
      <c r="EA46" s="20">
        <f t="shared" si="28"/>
        <v>0</v>
      </c>
      <c r="EB46" s="20">
        <f t="shared" si="29"/>
        <v>111843.51999999999</v>
      </c>
      <c r="EC46" s="20">
        <f t="shared" si="14"/>
        <v>42534.999992013909</v>
      </c>
      <c r="ED46" s="20">
        <f t="shared" si="15"/>
        <v>0</v>
      </c>
      <c r="EE46" s="20">
        <f t="shared" si="15"/>
        <v>1400.0000079860911</v>
      </c>
      <c r="EF46" s="20">
        <f t="shared" si="16"/>
        <v>43935</v>
      </c>
      <c r="EG46" s="23">
        <f t="shared" si="17"/>
        <v>0.96813474432716307</v>
      </c>
      <c r="EH46" s="20">
        <f t="shared" si="18"/>
        <v>7882600.000007987</v>
      </c>
    </row>
    <row r="47" spans="1:138" x14ac:dyDescent="0.25">
      <c r="A47" s="18">
        <v>433</v>
      </c>
      <c r="B47" t="s">
        <v>187</v>
      </c>
      <c r="C47" t="s">
        <v>152</v>
      </c>
      <c r="D47">
        <v>6</v>
      </c>
      <c r="E47">
        <v>359</v>
      </c>
      <c r="F47" s="19">
        <f t="shared" si="11"/>
        <v>0.6044568245125348</v>
      </c>
      <c r="G47">
        <v>217</v>
      </c>
      <c r="H47" s="20">
        <v>191050.75104188372</v>
      </c>
      <c r="I47" s="20">
        <v>110891.27068881014</v>
      </c>
      <c r="J47" s="20">
        <v>183497.69905998593</v>
      </c>
      <c r="K47" s="20">
        <v>110891.27068881014</v>
      </c>
      <c r="L47" s="20">
        <v>0</v>
      </c>
      <c r="M47" s="20">
        <v>89505.059196611037</v>
      </c>
      <c r="N47" s="20">
        <v>59866.796146808359</v>
      </c>
      <c r="O47" s="20">
        <v>0</v>
      </c>
      <c r="P47" s="20">
        <v>0</v>
      </c>
      <c r="Q47" s="20">
        <v>0</v>
      </c>
      <c r="R47" s="20"/>
      <c r="S47" s="20">
        <v>77625.750694703253</v>
      </c>
      <c r="T47" s="20">
        <v>60676.224767295193</v>
      </c>
      <c r="U47" s="20">
        <v>149148.95212478214</v>
      </c>
      <c r="V47" s="20">
        <v>110891.27068881014</v>
      </c>
      <c r="W47" s="20">
        <v>0</v>
      </c>
      <c r="X47" s="20">
        <v>0</v>
      </c>
      <c r="Y47" s="20">
        <v>0</v>
      </c>
      <c r="Z47" s="20">
        <v>0</v>
      </c>
      <c r="AA47" s="20"/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587723.73465069372</v>
      </c>
      <c r="AP47" s="20">
        <v>554456.35344405065</v>
      </c>
      <c r="AQ47" s="20">
        <v>665347.6241328608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/>
      <c r="AX47" s="20">
        <v>0</v>
      </c>
      <c r="AY47" s="20">
        <v>110891.27068881014</v>
      </c>
      <c r="AZ47" s="20">
        <v>221782.54137762028</v>
      </c>
      <c r="BA47" s="20">
        <v>887130.16551048111</v>
      </c>
      <c r="BB47" s="20">
        <v>100233.47308369415</v>
      </c>
      <c r="BC47" s="20">
        <v>0</v>
      </c>
      <c r="BD47" s="20">
        <v>0</v>
      </c>
      <c r="BE47" s="20">
        <v>15121.536912110472</v>
      </c>
      <c r="BF47" s="20">
        <v>0</v>
      </c>
      <c r="BG47" s="20">
        <v>0</v>
      </c>
      <c r="BH47" s="20">
        <v>14320</v>
      </c>
      <c r="BI47" s="20">
        <v>14320</v>
      </c>
      <c r="BJ47" s="20">
        <v>10740</v>
      </c>
      <c r="BK47" s="20">
        <v>0</v>
      </c>
      <c r="BL47" s="20"/>
      <c r="BM47" s="20">
        <v>0</v>
      </c>
      <c r="BN47" s="20">
        <v>150439.72</v>
      </c>
      <c r="BO47" s="20">
        <v>2488.86</v>
      </c>
      <c r="BP47" s="20">
        <v>0</v>
      </c>
      <c r="BQ47" s="20">
        <v>0</v>
      </c>
      <c r="BR47" s="20">
        <v>0</v>
      </c>
      <c r="BS47" s="20">
        <v>152914.74921665495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332673.8120664304</v>
      </c>
      <c r="CL47" s="20"/>
      <c r="CM47" s="20">
        <v>23000</v>
      </c>
      <c r="CN47" s="20">
        <v>5000</v>
      </c>
      <c r="CO47" s="20">
        <v>244045.91999999998</v>
      </c>
      <c r="CP47" s="20">
        <v>100000</v>
      </c>
      <c r="CQ47" s="20">
        <v>0</v>
      </c>
      <c r="CR47" s="20">
        <v>0</v>
      </c>
      <c r="CS47" s="20">
        <v>4340</v>
      </c>
      <c r="CT47" s="20">
        <v>0</v>
      </c>
      <c r="CU47" s="20">
        <v>27870.54074074074</v>
      </c>
      <c r="CV47" s="20">
        <v>0</v>
      </c>
      <c r="CW47" s="20"/>
      <c r="CX47" s="20">
        <v>0</v>
      </c>
      <c r="CY47" s="20">
        <v>0</v>
      </c>
      <c r="CZ47" s="20">
        <v>0</v>
      </c>
      <c r="DA47" s="20">
        <v>0</v>
      </c>
      <c r="DB47" s="20">
        <v>35900</v>
      </c>
      <c r="DC47" s="20">
        <v>78444.356929528716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/>
      <c r="DJ47" s="20">
        <v>44525.000857189298</v>
      </c>
      <c r="DK47" s="22">
        <v>0</v>
      </c>
      <c r="DL47" s="20">
        <v>0</v>
      </c>
      <c r="DM47" s="20">
        <v>0</v>
      </c>
      <c r="DN47" s="20">
        <v>5527754.7047093669</v>
      </c>
      <c r="DO47" s="20">
        <f t="shared" si="0"/>
        <v>3267010.5394760245</v>
      </c>
      <c r="DP47" s="21">
        <v>501779</v>
      </c>
      <c r="DQ47" s="20">
        <f t="shared" si="20"/>
        <v>39380</v>
      </c>
      <c r="DR47" s="20">
        <f t="shared" si="21"/>
        <v>201779.75007384425</v>
      </c>
      <c r="DS47" s="20">
        <f t="shared" si="12"/>
        <v>260619.24992615575</v>
      </c>
      <c r="DT47" s="23">
        <f t="shared" si="13"/>
        <v>0.51939050842334122</v>
      </c>
      <c r="DU47" s="20">
        <f t="shared" si="22"/>
        <v>3293842.2171366489</v>
      </c>
      <c r="DV47" s="20">
        <f t="shared" si="23"/>
        <v>1320037.4506606057</v>
      </c>
      <c r="DW47" s="20">
        <f t="shared" si="24"/>
        <v>15121.536912110472</v>
      </c>
      <c r="DX47" s="20">
        <f t="shared" si="25"/>
        <v>152928.57999999999</v>
      </c>
      <c r="DY47" s="20">
        <f t="shared" si="26"/>
        <v>0</v>
      </c>
      <c r="DZ47" s="20">
        <f t="shared" si="27"/>
        <v>0</v>
      </c>
      <c r="EA47" s="20">
        <f t="shared" si="28"/>
        <v>0</v>
      </c>
      <c r="EB47" s="20">
        <f t="shared" si="29"/>
        <v>244045.91999999998</v>
      </c>
      <c r="EC47" s="20">
        <f t="shared" si="14"/>
        <v>260619.24992615575</v>
      </c>
      <c r="ED47" s="20">
        <f t="shared" si="15"/>
        <v>39380</v>
      </c>
      <c r="EE47" s="20">
        <f t="shared" si="15"/>
        <v>201779.75007384425</v>
      </c>
      <c r="EF47" s="20">
        <f t="shared" si="16"/>
        <v>501779</v>
      </c>
      <c r="EG47" s="23">
        <f t="shared" si="17"/>
        <v>0.51939050842334122</v>
      </c>
      <c r="EH47" s="20">
        <f t="shared" si="18"/>
        <v>5527754.704709365</v>
      </c>
    </row>
    <row r="48" spans="1:138" x14ac:dyDescent="0.25">
      <c r="A48" s="18">
        <v>416</v>
      </c>
      <c r="B48" t="s">
        <v>188</v>
      </c>
      <c r="C48" t="s">
        <v>152</v>
      </c>
      <c r="D48">
        <v>8</v>
      </c>
      <c r="E48">
        <v>355</v>
      </c>
      <c r="F48" s="19">
        <f t="shared" si="11"/>
        <v>0.73521126760563382</v>
      </c>
      <c r="G48">
        <v>261</v>
      </c>
      <c r="H48" s="20">
        <v>191050.75104188372</v>
      </c>
      <c r="I48" s="20">
        <v>110891.27068881014</v>
      </c>
      <c r="J48" s="20">
        <v>183497.69905998593</v>
      </c>
      <c r="K48" s="20">
        <v>110891.27068881014</v>
      </c>
      <c r="L48" s="20">
        <v>0</v>
      </c>
      <c r="M48" s="20">
        <v>89505.059196611037</v>
      </c>
      <c r="N48" s="20">
        <v>59866.796146808359</v>
      </c>
      <c r="O48" s="20">
        <v>0</v>
      </c>
      <c r="P48" s="20">
        <v>0</v>
      </c>
      <c r="Q48" s="20">
        <v>69924.031375330247</v>
      </c>
      <c r="R48" s="20"/>
      <c r="S48" s="20">
        <v>77625.750694703253</v>
      </c>
      <c r="T48" s="20">
        <v>60676.224767295193</v>
      </c>
      <c r="U48" s="20">
        <v>198865.26949970951</v>
      </c>
      <c r="V48" s="20">
        <v>110891.27068881014</v>
      </c>
      <c r="W48" s="20">
        <v>0</v>
      </c>
      <c r="X48" s="20">
        <v>0</v>
      </c>
      <c r="Y48" s="20">
        <v>0</v>
      </c>
      <c r="Z48" s="20">
        <v>0</v>
      </c>
      <c r="AA48" s="20"/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587723.73465069372</v>
      </c>
      <c r="AP48" s="20">
        <v>587723.73465069372</v>
      </c>
      <c r="AQ48" s="20">
        <v>609901.98878845572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/>
      <c r="AX48" s="20">
        <v>0</v>
      </c>
      <c r="AY48" s="20">
        <v>110891.27068881014</v>
      </c>
      <c r="AZ48" s="20">
        <v>332673.8120664304</v>
      </c>
      <c r="BA48" s="20">
        <v>887130.16551048111</v>
      </c>
      <c r="BB48" s="20">
        <v>66822.315389129435</v>
      </c>
      <c r="BC48" s="20">
        <v>48327.936512970991</v>
      </c>
      <c r="BD48" s="20">
        <v>0</v>
      </c>
      <c r="BE48" s="20">
        <v>15121.536912110472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/>
      <c r="BM48" s="20">
        <v>0</v>
      </c>
      <c r="BN48" s="20">
        <v>143620.92000000001</v>
      </c>
      <c r="BO48" s="20">
        <v>2376.0500000000002</v>
      </c>
      <c r="BP48" s="20">
        <v>0</v>
      </c>
      <c r="BQ48" s="20">
        <v>0</v>
      </c>
      <c r="BR48" s="20">
        <v>110891.27068881014</v>
      </c>
      <c r="BS48" s="20">
        <v>152914.74921665495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332673.8120664304</v>
      </c>
      <c r="CL48" s="20"/>
      <c r="CM48" s="20">
        <v>23000</v>
      </c>
      <c r="CN48" s="20">
        <v>5000</v>
      </c>
      <c r="CO48" s="20">
        <v>244045.91999999998</v>
      </c>
      <c r="CP48" s="20">
        <v>100000</v>
      </c>
      <c r="CQ48" s="20">
        <v>0</v>
      </c>
      <c r="CR48" s="20">
        <v>0</v>
      </c>
      <c r="CS48" s="20">
        <v>5220</v>
      </c>
      <c r="CT48" s="20">
        <v>0</v>
      </c>
      <c r="CU48" s="20">
        <v>28060.279569892475</v>
      </c>
      <c r="CV48" s="20">
        <v>0</v>
      </c>
      <c r="CW48" s="20"/>
      <c r="CX48" s="20">
        <v>0</v>
      </c>
      <c r="CY48" s="20">
        <v>0</v>
      </c>
      <c r="CZ48" s="20">
        <v>0</v>
      </c>
      <c r="DA48" s="20">
        <v>0</v>
      </c>
      <c r="DB48" s="20">
        <v>35500</v>
      </c>
      <c r="DC48" s="20">
        <v>83824.355707945884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/>
      <c r="DJ48" s="20">
        <v>53250.002525746822</v>
      </c>
      <c r="DK48" s="22">
        <v>0</v>
      </c>
      <c r="DL48" s="20">
        <v>0</v>
      </c>
      <c r="DM48" s="20">
        <v>0</v>
      </c>
      <c r="DN48" s="20">
        <v>5830379.2487940136</v>
      </c>
      <c r="DO48" s="20">
        <f t="shared" si="0"/>
        <v>3319926.0543211615</v>
      </c>
      <c r="DP48" s="21">
        <v>603523</v>
      </c>
      <c r="DQ48" s="20">
        <f t="shared" si="20"/>
        <v>0</v>
      </c>
      <c r="DR48" s="20">
        <f t="shared" si="21"/>
        <v>211384.75174240177</v>
      </c>
      <c r="DS48" s="20">
        <f t="shared" si="12"/>
        <v>392138.24825759826</v>
      </c>
      <c r="DT48" s="23">
        <f t="shared" si="13"/>
        <v>0.64974863966675378</v>
      </c>
      <c r="DU48" s="20">
        <f t="shared" si="22"/>
        <v>3375846.3217140813</v>
      </c>
      <c r="DV48" s="20">
        <f t="shared" si="23"/>
        <v>1445845.500167822</v>
      </c>
      <c r="DW48" s="20">
        <f t="shared" si="24"/>
        <v>15121.536912110472</v>
      </c>
      <c r="DX48" s="20">
        <f t="shared" si="25"/>
        <v>145996.97</v>
      </c>
      <c r="DY48" s="20">
        <f t="shared" si="26"/>
        <v>0</v>
      </c>
      <c r="DZ48" s="20">
        <f t="shared" si="27"/>
        <v>0</v>
      </c>
      <c r="EA48" s="20">
        <f t="shared" si="28"/>
        <v>0</v>
      </c>
      <c r="EB48" s="20">
        <f t="shared" si="29"/>
        <v>244045.91999999998</v>
      </c>
      <c r="EC48" s="20">
        <f t="shared" si="14"/>
        <v>392138.24825759826</v>
      </c>
      <c r="ED48" s="20">
        <f t="shared" si="15"/>
        <v>0</v>
      </c>
      <c r="EE48" s="20">
        <f t="shared" si="15"/>
        <v>211384.75174240177</v>
      </c>
      <c r="EF48" s="20">
        <f t="shared" si="16"/>
        <v>603523</v>
      </c>
      <c r="EG48" s="23">
        <f t="shared" si="17"/>
        <v>0.64974863966675378</v>
      </c>
      <c r="EH48" s="20">
        <f t="shared" si="18"/>
        <v>5830379.2487940136</v>
      </c>
    </row>
    <row r="49" spans="1:138" x14ac:dyDescent="0.25">
      <c r="A49" s="18">
        <v>421</v>
      </c>
      <c r="B49" t="s">
        <v>189</v>
      </c>
      <c r="C49" t="s">
        <v>152</v>
      </c>
      <c r="D49">
        <v>7</v>
      </c>
      <c r="E49">
        <v>567</v>
      </c>
      <c r="F49" s="19">
        <f t="shared" si="11"/>
        <v>0.67019400352733682</v>
      </c>
      <c r="G49">
        <v>380</v>
      </c>
      <c r="H49" s="20">
        <v>191050.75104188372</v>
      </c>
      <c r="I49" s="20">
        <v>110891.27068881014</v>
      </c>
      <c r="J49" s="20">
        <v>290538.02351164439</v>
      </c>
      <c r="K49" s="20">
        <v>155247.7789643342</v>
      </c>
      <c r="L49" s="20">
        <v>0</v>
      </c>
      <c r="M49" s="20">
        <v>89505.059196611037</v>
      </c>
      <c r="N49" s="20">
        <v>59866.796146808359</v>
      </c>
      <c r="O49" s="20">
        <v>62763.671429619535</v>
      </c>
      <c r="P49" s="20">
        <v>0</v>
      </c>
      <c r="Q49" s="20">
        <v>69924.031375330247</v>
      </c>
      <c r="R49" s="20"/>
      <c r="S49" s="20">
        <v>77625.750694703253</v>
      </c>
      <c r="T49" s="20">
        <v>60676.224767295193</v>
      </c>
      <c r="U49" s="20">
        <v>198865.26949970951</v>
      </c>
      <c r="V49" s="20">
        <v>110891.27068881014</v>
      </c>
      <c r="W49" s="20">
        <v>0</v>
      </c>
      <c r="X49" s="20">
        <v>0</v>
      </c>
      <c r="Y49" s="20">
        <v>0</v>
      </c>
      <c r="Z49" s="20">
        <v>0</v>
      </c>
      <c r="AA49" s="20"/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820595.40309719509</v>
      </c>
      <c r="AP49" s="20">
        <v>953664.92792376713</v>
      </c>
      <c r="AQ49" s="20">
        <v>1086734.4527503394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/>
      <c r="AX49" s="20">
        <v>0</v>
      </c>
      <c r="AY49" s="20">
        <v>110891.27068881014</v>
      </c>
      <c r="AZ49" s="20">
        <v>332673.8120664304</v>
      </c>
      <c r="BA49" s="20">
        <v>1219803.9775769114</v>
      </c>
      <c r="BB49" s="20">
        <v>133644.63077825887</v>
      </c>
      <c r="BC49" s="20">
        <v>48327.936512970991</v>
      </c>
      <c r="BD49" s="20">
        <v>0</v>
      </c>
      <c r="BE49" s="20">
        <v>110891.27068881014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/>
      <c r="BM49" s="20">
        <v>0</v>
      </c>
      <c r="BN49" s="20">
        <v>229282.07</v>
      </c>
      <c r="BO49" s="20">
        <v>3793.22</v>
      </c>
      <c r="BP49" s="20">
        <v>0</v>
      </c>
      <c r="BQ49" s="20">
        <v>0</v>
      </c>
      <c r="BR49" s="20">
        <v>110891.27068881014</v>
      </c>
      <c r="BS49" s="20">
        <v>152914.74921665495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332673.8120664304</v>
      </c>
      <c r="CL49" s="20"/>
      <c r="CM49" s="20">
        <v>23000</v>
      </c>
      <c r="CN49" s="20">
        <v>5000</v>
      </c>
      <c r="CO49" s="20">
        <v>367238.58</v>
      </c>
      <c r="CP49" s="20">
        <v>100000</v>
      </c>
      <c r="CQ49" s="20">
        <v>0</v>
      </c>
      <c r="CR49" s="20">
        <v>0</v>
      </c>
      <c r="CS49" s="20">
        <v>7600</v>
      </c>
      <c r="CT49" s="20">
        <v>0</v>
      </c>
      <c r="CU49" s="20">
        <v>41401.025000000001</v>
      </c>
      <c r="CV49" s="20">
        <v>0</v>
      </c>
      <c r="CW49" s="20"/>
      <c r="CX49" s="20">
        <v>0</v>
      </c>
      <c r="CY49" s="20">
        <v>0</v>
      </c>
      <c r="CZ49" s="20">
        <v>0</v>
      </c>
      <c r="DA49" s="20">
        <v>0</v>
      </c>
      <c r="DB49" s="20">
        <v>56700</v>
      </c>
      <c r="DC49" s="20">
        <v>112564.00993418127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/>
      <c r="DJ49" s="20">
        <v>94499.99512732029</v>
      </c>
      <c r="DK49" s="22">
        <v>0</v>
      </c>
      <c r="DL49" s="20">
        <v>0</v>
      </c>
      <c r="DM49" s="20">
        <v>0</v>
      </c>
      <c r="DN49" s="20">
        <v>7932632.3121224511</v>
      </c>
      <c r="DO49" s="20">
        <f t="shared" si="0"/>
        <v>4673012.2838157648</v>
      </c>
      <c r="DP49" s="21">
        <v>878692</v>
      </c>
      <c r="DQ49" s="20">
        <f t="shared" si="20"/>
        <v>0</v>
      </c>
      <c r="DR49" s="20">
        <f t="shared" si="21"/>
        <v>255014.74434397524</v>
      </c>
      <c r="DS49" s="20">
        <f t="shared" si="12"/>
        <v>623677.25565602479</v>
      </c>
      <c r="DT49" s="23">
        <f t="shared" si="13"/>
        <v>0.70977914406415987</v>
      </c>
      <c r="DU49" s="20">
        <f t="shared" si="22"/>
        <v>4497393.5438102586</v>
      </c>
      <c r="DV49" s="20">
        <f t="shared" si="23"/>
        <v>1845341.627623382</v>
      </c>
      <c r="DW49" s="20">
        <f t="shared" si="24"/>
        <v>110891.27068881014</v>
      </c>
      <c r="DX49" s="20">
        <f t="shared" si="25"/>
        <v>233075.29</v>
      </c>
      <c r="DY49" s="20">
        <f t="shared" si="26"/>
        <v>0</v>
      </c>
      <c r="DZ49" s="20">
        <f t="shared" si="27"/>
        <v>0</v>
      </c>
      <c r="EA49" s="20">
        <f t="shared" si="28"/>
        <v>0</v>
      </c>
      <c r="EB49" s="20">
        <f t="shared" si="29"/>
        <v>367238.58</v>
      </c>
      <c r="EC49" s="20">
        <f t="shared" si="14"/>
        <v>623677.25565602479</v>
      </c>
      <c r="ED49" s="20">
        <f t="shared" si="15"/>
        <v>0</v>
      </c>
      <c r="EE49" s="20">
        <f t="shared" si="15"/>
        <v>255014.74434397524</v>
      </c>
      <c r="EF49" s="20">
        <f t="shared" si="16"/>
        <v>878692</v>
      </c>
      <c r="EG49" s="23">
        <f t="shared" si="17"/>
        <v>0.70977914406415987</v>
      </c>
      <c r="EH49" s="20">
        <f t="shared" si="18"/>
        <v>7932632.3121224511</v>
      </c>
    </row>
    <row r="50" spans="1:138" x14ac:dyDescent="0.25">
      <c r="A50" s="18">
        <v>257</v>
      </c>
      <c r="B50" t="s">
        <v>190</v>
      </c>
      <c r="C50" t="s">
        <v>135</v>
      </c>
      <c r="D50">
        <v>8</v>
      </c>
      <c r="E50">
        <v>350</v>
      </c>
      <c r="F50" s="19">
        <f t="shared" si="11"/>
        <v>0.76857142857142857</v>
      </c>
      <c r="G50">
        <v>269</v>
      </c>
      <c r="H50" s="20">
        <v>191050.75104188372</v>
      </c>
      <c r="I50" s="20">
        <v>110891.27068881014</v>
      </c>
      <c r="J50" s="20">
        <v>137623.27429498945</v>
      </c>
      <c r="K50" s="20">
        <v>0</v>
      </c>
      <c r="L50" s="20">
        <v>0</v>
      </c>
      <c r="M50" s="20">
        <v>89505.059196611037</v>
      </c>
      <c r="N50" s="20">
        <v>59866.796146808359</v>
      </c>
      <c r="O50" s="20">
        <v>0</v>
      </c>
      <c r="P50" s="20">
        <v>0</v>
      </c>
      <c r="Q50" s="20">
        <v>0</v>
      </c>
      <c r="R50" s="20"/>
      <c r="S50" s="20">
        <v>77625.750694703253</v>
      </c>
      <c r="T50" s="20">
        <v>60676.224767295193</v>
      </c>
      <c r="U50" s="20">
        <v>99432.634749854755</v>
      </c>
      <c r="V50" s="20">
        <v>110891.27068881014</v>
      </c>
      <c r="W50" s="20">
        <v>110891.27068881014</v>
      </c>
      <c r="X50" s="20">
        <v>110891.27068881014</v>
      </c>
      <c r="Y50" s="20">
        <v>110891.27068881014</v>
      </c>
      <c r="Z50" s="20">
        <f>166336.906033215-AA50</f>
        <v>0</v>
      </c>
      <c r="AA50" s="20">
        <v>166336.9060332152</v>
      </c>
      <c r="AB50" s="20">
        <v>221782.54137762028</v>
      </c>
      <c r="AC50" s="20">
        <v>66822.315389129435</v>
      </c>
      <c r="AD50" s="20">
        <v>110891.27068881014</v>
      </c>
      <c r="AE50" s="20">
        <v>33411.157694564718</v>
      </c>
      <c r="AF50" s="20">
        <v>221782.54137762028</v>
      </c>
      <c r="AG50" s="20">
        <v>66822.315389129435</v>
      </c>
      <c r="AH50" s="20">
        <v>332673.8120664304</v>
      </c>
      <c r="AI50" s="20">
        <v>100233.47308369415</v>
      </c>
      <c r="AJ50" s="20">
        <v>221782.54137762028</v>
      </c>
      <c r="AK50" s="20">
        <v>221782.54137762028</v>
      </c>
      <c r="AL50" s="20">
        <v>221782.54137762028</v>
      </c>
      <c r="AM50" s="20">
        <v>221782.54137762028</v>
      </c>
      <c r="AN50" s="20">
        <v>221782.54137762028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/>
      <c r="AX50" s="20">
        <v>0</v>
      </c>
      <c r="AY50" s="20">
        <v>110891.27068881014</v>
      </c>
      <c r="AZ50" s="20">
        <v>110891.27068881014</v>
      </c>
      <c r="BA50" s="20">
        <v>443565.08275524055</v>
      </c>
      <c r="BB50" s="20">
        <v>0</v>
      </c>
      <c r="BC50" s="20">
        <v>0</v>
      </c>
      <c r="BD50" s="20">
        <v>0</v>
      </c>
      <c r="BE50" s="20">
        <v>110891.27068881014</v>
      </c>
      <c r="BF50" s="20">
        <v>0</v>
      </c>
      <c r="BG50" s="20">
        <v>0</v>
      </c>
      <c r="BH50" s="21">
        <f>28640-7160</f>
        <v>21480</v>
      </c>
      <c r="BI50" s="21">
        <f>28640-7160</f>
        <v>21480</v>
      </c>
      <c r="BJ50" s="20">
        <v>10740</v>
      </c>
      <c r="BK50" s="20">
        <v>0</v>
      </c>
      <c r="BL50" s="20"/>
      <c r="BM50" s="20">
        <v>14320</v>
      </c>
      <c r="BN50" s="20">
        <v>138933</v>
      </c>
      <c r="BO50" s="20">
        <v>2298.4899999999998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/>
      <c r="CM50" s="20">
        <v>0</v>
      </c>
      <c r="CN50" s="20">
        <v>0</v>
      </c>
      <c r="CO50" s="20">
        <v>55921.759999999995</v>
      </c>
      <c r="CP50" s="20">
        <v>0</v>
      </c>
      <c r="CQ50" s="20">
        <v>0</v>
      </c>
      <c r="CR50" s="20">
        <v>0</v>
      </c>
      <c r="CS50" s="20">
        <v>10760</v>
      </c>
      <c r="CT50" s="20">
        <v>0</v>
      </c>
      <c r="CU50" s="20">
        <v>21735.615384615383</v>
      </c>
      <c r="CV50" s="20">
        <v>0</v>
      </c>
      <c r="CW50" s="20"/>
      <c r="CX50" s="20">
        <v>0</v>
      </c>
      <c r="CY50" s="20">
        <v>0</v>
      </c>
      <c r="CZ50" s="20">
        <v>0</v>
      </c>
      <c r="DA50" s="20">
        <v>0</v>
      </c>
      <c r="DB50" s="20">
        <v>35000</v>
      </c>
      <c r="DC50" s="20">
        <v>72065.930944253545</v>
      </c>
      <c r="DD50" s="20">
        <v>0</v>
      </c>
      <c r="DE50" s="20">
        <v>0</v>
      </c>
      <c r="DF50" s="20">
        <v>13859</v>
      </c>
      <c r="DG50" s="20">
        <v>0</v>
      </c>
      <c r="DH50" s="20">
        <v>0</v>
      </c>
      <c r="DI50" s="20"/>
      <c r="DJ50" s="20">
        <v>14574.999954923987</v>
      </c>
      <c r="DK50" s="22">
        <v>0</v>
      </c>
      <c r="DL50" s="20">
        <v>0</v>
      </c>
      <c r="DM50" s="20">
        <v>0</v>
      </c>
      <c r="DN50" s="20">
        <v>4909313.5754299769</v>
      </c>
      <c r="DO50" s="20">
        <f t="shared" si="0"/>
        <v>3424635.9144083126</v>
      </c>
      <c r="DP50" s="21">
        <v>622021</v>
      </c>
      <c r="DQ50" s="20">
        <f t="shared" si="20"/>
        <v>53700</v>
      </c>
      <c r="DR50" s="20">
        <f t="shared" si="21"/>
        <v>191671.90598813919</v>
      </c>
      <c r="DS50" s="20">
        <f t="shared" si="12"/>
        <v>376649.09401186078</v>
      </c>
      <c r="DT50" s="23">
        <f t="shared" si="13"/>
        <v>0.60552472346088115</v>
      </c>
      <c r="DU50" s="20">
        <f t="shared" si="22"/>
        <v>3299580.4306083047</v>
      </c>
      <c r="DV50" s="20">
        <f t="shared" si="23"/>
        <v>665347.6241328608</v>
      </c>
      <c r="DW50" s="20">
        <f t="shared" si="24"/>
        <v>110891.27068881014</v>
      </c>
      <c r="DX50" s="20">
        <f t="shared" si="25"/>
        <v>155551.49</v>
      </c>
      <c r="DY50" s="20">
        <f t="shared" si="26"/>
        <v>0</v>
      </c>
      <c r="DZ50" s="20">
        <f t="shared" si="27"/>
        <v>0</v>
      </c>
      <c r="EA50" s="20">
        <f t="shared" si="28"/>
        <v>0</v>
      </c>
      <c r="EB50" s="20">
        <f t="shared" si="29"/>
        <v>55921.759999999995</v>
      </c>
      <c r="EC50" s="20">
        <f t="shared" si="14"/>
        <v>376649.09401186078</v>
      </c>
      <c r="ED50" s="20">
        <f t="shared" si="15"/>
        <v>53700</v>
      </c>
      <c r="EE50" s="20">
        <f t="shared" si="15"/>
        <v>191671.90598813919</v>
      </c>
      <c r="EF50" s="20">
        <f t="shared" si="16"/>
        <v>622021</v>
      </c>
      <c r="EG50" s="23">
        <f t="shared" si="17"/>
        <v>0.60552472346088115</v>
      </c>
      <c r="EH50" s="20">
        <f t="shared" si="18"/>
        <v>4909313.5754299751</v>
      </c>
    </row>
    <row r="51" spans="1:138" x14ac:dyDescent="0.25">
      <c r="A51" s="18">
        <v>272</v>
      </c>
      <c r="B51" t="s">
        <v>191</v>
      </c>
      <c r="C51" t="s">
        <v>135</v>
      </c>
      <c r="D51">
        <v>3</v>
      </c>
      <c r="E51">
        <v>372</v>
      </c>
      <c r="F51" s="19">
        <f t="shared" si="11"/>
        <v>1.0752688172043012E-2</v>
      </c>
      <c r="G51">
        <v>4</v>
      </c>
      <c r="H51" s="20">
        <v>191050.75104188372</v>
      </c>
      <c r="I51" s="20">
        <v>110891.27068881014</v>
      </c>
      <c r="J51" s="20">
        <v>137623.27429498945</v>
      </c>
      <c r="K51" s="20">
        <v>0</v>
      </c>
      <c r="L51" s="20">
        <v>0</v>
      </c>
      <c r="M51" s="20">
        <v>89505.059196611037</v>
      </c>
      <c r="N51" s="20">
        <v>59866.796146808359</v>
      </c>
      <c r="O51" s="20">
        <v>0</v>
      </c>
      <c r="P51" s="20">
        <v>0</v>
      </c>
      <c r="Q51" s="20">
        <v>0</v>
      </c>
      <c r="R51" s="20"/>
      <c r="S51" s="20">
        <v>77625.750694703253</v>
      </c>
      <c r="T51" s="20">
        <v>60676.224767295193</v>
      </c>
      <c r="U51" s="20">
        <v>99432.634749854755</v>
      </c>
      <c r="V51" s="20">
        <v>110891.27068881014</v>
      </c>
      <c r="W51" s="20">
        <v>110891.27068881014</v>
      </c>
      <c r="X51" s="20">
        <v>110891.27068881014</v>
      </c>
      <c r="Y51" s="20">
        <v>110891.27068881014</v>
      </c>
      <c r="Z51" s="20">
        <v>0</v>
      </c>
      <c r="AA51" s="20"/>
      <c r="AB51" s="20">
        <v>0</v>
      </c>
      <c r="AC51" s="20">
        <v>0</v>
      </c>
      <c r="AD51" s="20">
        <v>0</v>
      </c>
      <c r="AE51" s="20">
        <v>0</v>
      </c>
      <c r="AF51" s="20">
        <v>221782.54137762028</v>
      </c>
      <c r="AG51" s="20">
        <v>66822.315389129435</v>
      </c>
      <c r="AH51" s="20">
        <v>332673.8120664304</v>
      </c>
      <c r="AI51" s="20">
        <v>100233.47308369415</v>
      </c>
      <c r="AJ51" s="20">
        <v>332673.8120664304</v>
      </c>
      <c r="AK51" s="20">
        <v>332673.8120664304</v>
      </c>
      <c r="AL51" s="20">
        <v>332673.8120664304</v>
      </c>
      <c r="AM51" s="20">
        <v>221782.54137762028</v>
      </c>
      <c r="AN51" s="20">
        <v>221782.54137762028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/>
      <c r="AX51" s="20">
        <v>0</v>
      </c>
      <c r="AY51" s="20">
        <v>55445.635344405069</v>
      </c>
      <c r="AZ51" s="20">
        <v>110891.27068881014</v>
      </c>
      <c r="BA51" s="20">
        <v>332673.8120664304</v>
      </c>
      <c r="BB51" s="20">
        <v>0</v>
      </c>
      <c r="BC51" s="20">
        <v>0</v>
      </c>
      <c r="BD51" s="20">
        <v>0</v>
      </c>
      <c r="BE51" s="20">
        <v>110891.27068881014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/>
      <c r="BM51" s="20">
        <v>0</v>
      </c>
      <c r="BN51" s="20">
        <v>0</v>
      </c>
      <c r="BO51" s="20">
        <v>0</v>
      </c>
      <c r="BP51" s="20">
        <v>9550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/>
      <c r="CM51" s="20">
        <v>0</v>
      </c>
      <c r="CN51" s="20">
        <v>0</v>
      </c>
      <c r="CO51" s="20">
        <v>55921.759999999995</v>
      </c>
      <c r="CP51" s="20">
        <v>0</v>
      </c>
      <c r="CQ51" s="20">
        <v>0</v>
      </c>
      <c r="CR51" s="20">
        <v>0</v>
      </c>
      <c r="CS51" s="20">
        <v>0</v>
      </c>
      <c r="CT51" s="20">
        <v>0</v>
      </c>
      <c r="CU51" s="20">
        <v>20046.777777777777</v>
      </c>
      <c r="CV51" s="20">
        <v>0</v>
      </c>
      <c r="CW51" s="20"/>
      <c r="CX51" s="20">
        <v>0</v>
      </c>
      <c r="CY51" s="20">
        <v>0</v>
      </c>
      <c r="CZ51" s="20">
        <v>0</v>
      </c>
      <c r="DA51" s="20">
        <v>0</v>
      </c>
      <c r="DB51" s="20">
        <v>37200</v>
      </c>
      <c r="DC51" s="20">
        <v>65096.123653336537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/>
      <c r="DJ51" s="20">
        <v>2625.0000469386578</v>
      </c>
      <c r="DK51" s="22">
        <v>0</v>
      </c>
      <c r="DL51" s="20">
        <v>149638.89023555291</v>
      </c>
      <c r="DM51" s="20">
        <v>0</v>
      </c>
      <c r="DN51" s="20">
        <v>4383316.045709664</v>
      </c>
      <c r="DO51" s="20">
        <f t="shared" si="0"/>
        <v>3317943.7964268634</v>
      </c>
      <c r="DP51" s="21">
        <v>9249</v>
      </c>
      <c r="DQ51" s="20">
        <f t="shared" si="20"/>
        <v>0</v>
      </c>
      <c r="DR51" s="20">
        <f t="shared" si="21"/>
        <v>2625.0000469386578</v>
      </c>
      <c r="DS51" s="20">
        <f t="shared" si="12"/>
        <v>6623.9999530613422</v>
      </c>
      <c r="DT51" s="23">
        <f t="shared" si="13"/>
        <v>0.71618552849619876</v>
      </c>
      <c r="DU51" s="20">
        <f t="shared" si="22"/>
        <v>3549054.406685655</v>
      </c>
      <c r="DV51" s="20">
        <f t="shared" si="23"/>
        <v>499010.71809964557</v>
      </c>
      <c r="DW51" s="20">
        <f t="shared" si="24"/>
        <v>110891.27068881014</v>
      </c>
      <c r="DX51" s="20">
        <f t="shared" si="25"/>
        <v>9550</v>
      </c>
      <c r="DY51" s="20">
        <f t="shared" si="26"/>
        <v>0</v>
      </c>
      <c r="DZ51" s="20">
        <f t="shared" si="27"/>
        <v>0</v>
      </c>
      <c r="EA51" s="20">
        <f t="shared" si="28"/>
        <v>149638.89023555291</v>
      </c>
      <c r="EB51" s="20">
        <f t="shared" si="29"/>
        <v>55921.759999999995</v>
      </c>
      <c r="EC51" s="20">
        <f t="shared" si="14"/>
        <v>6623.9999530613422</v>
      </c>
      <c r="ED51" s="20">
        <f t="shared" si="15"/>
        <v>0</v>
      </c>
      <c r="EE51" s="20">
        <f t="shared" si="15"/>
        <v>2625.0000469386578</v>
      </c>
      <c r="EF51" s="20">
        <f t="shared" si="16"/>
        <v>9249</v>
      </c>
      <c r="EG51" s="23">
        <f t="shared" si="17"/>
        <v>0.71618552849619876</v>
      </c>
      <c r="EH51" s="20">
        <f t="shared" si="18"/>
        <v>4383316.0457096631</v>
      </c>
    </row>
    <row r="52" spans="1:138" x14ac:dyDescent="0.25">
      <c r="A52" s="18">
        <v>259</v>
      </c>
      <c r="B52" t="s">
        <v>192</v>
      </c>
      <c r="C52" t="s">
        <v>135</v>
      </c>
      <c r="D52">
        <v>7</v>
      </c>
      <c r="E52">
        <v>423</v>
      </c>
      <c r="F52" s="19">
        <f t="shared" si="11"/>
        <v>0.71867612293144212</v>
      </c>
      <c r="G52">
        <v>304</v>
      </c>
      <c r="H52" s="20">
        <v>191050.75104188372</v>
      </c>
      <c r="I52" s="20">
        <v>110891.27068881014</v>
      </c>
      <c r="J52" s="20">
        <v>168206.22413832045</v>
      </c>
      <c r="K52" s="20">
        <v>0</v>
      </c>
      <c r="L52" s="20">
        <v>0</v>
      </c>
      <c r="M52" s="20">
        <v>89505.059196611037</v>
      </c>
      <c r="N52" s="20">
        <v>59866.796146808359</v>
      </c>
      <c r="O52" s="20">
        <v>49314.313266129648</v>
      </c>
      <c r="P52" s="20">
        <v>0</v>
      </c>
      <c r="Q52" s="20">
        <v>0</v>
      </c>
      <c r="R52" s="20"/>
      <c r="S52" s="20">
        <v>77625.750694703253</v>
      </c>
      <c r="T52" s="20">
        <v>60676.224767295193</v>
      </c>
      <c r="U52" s="20">
        <v>99432.634749854755</v>
      </c>
      <c r="V52" s="20">
        <v>110891.27068881014</v>
      </c>
      <c r="W52" s="20">
        <v>110891.27068881014</v>
      </c>
      <c r="X52" s="20">
        <v>110891.27068881014</v>
      </c>
      <c r="Y52" s="20">
        <v>110891.27068881014</v>
      </c>
      <c r="Z52" s="20">
        <v>166336.9060332152</v>
      </c>
      <c r="AA52" s="20"/>
      <c r="AB52" s="20">
        <v>221782.54137762028</v>
      </c>
      <c r="AC52" s="20">
        <v>66822.315389129435</v>
      </c>
      <c r="AD52" s="20">
        <v>0</v>
      </c>
      <c r="AE52" s="20">
        <v>0</v>
      </c>
      <c r="AF52" s="20">
        <v>221782.54137762028</v>
      </c>
      <c r="AG52" s="20">
        <v>66822.315389129435</v>
      </c>
      <c r="AH52" s="20">
        <v>332673.8120664304</v>
      </c>
      <c r="AI52" s="20">
        <v>100233.47308369415</v>
      </c>
      <c r="AJ52" s="20">
        <v>332673.8120664304</v>
      </c>
      <c r="AK52" s="20">
        <v>332673.8120664304</v>
      </c>
      <c r="AL52" s="20">
        <v>332673.8120664304</v>
      </c>
      <c r="AM52" s="20">
        <v>332673.8120664304</v>
      </c>
      <c r="AN52" s="20">
        <v>221782.54137762028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/>
      <c r="AX52" s="20">
        <v>0</v>
      </c>
      <c r="AY52" s="20">
        <v>110891.27068881014</v>
      </c>
      <c r="AZ52" s="20">
        <v>110891.27068881014</v>
      </c>
      <c r="BA52" s="20">
        <v>443565.08275524055</v>
      </c>
      <c r="BB52" s="20">
        <v>0</v>
      </c>
      <c r="BC52" s="20">
        <v>0</v>
      </c>
      <c r="BD52" s="20">
        <v>0</v>
      </c>
      <c r="BE52" s="20">
        <v>15121.536912110472</v>
      </c>
      <c r="BF52" s="20">
        <v>0</v>
      </c>
      <c r="BG52" s="20">
        <v>0</v>
      </c>
      <c r="BH52" s="21">
        <f>35800-14320</f>
        <v>21480</v>
      </c>
      <c r="BI52" s="21">
        <f>35800-14320</f>
        <v>21480</v>
      </c>
      <c r="BJ52" s="20">
        <v>10740</v>
      </c>
      <c r="BK52" s="20">
        <v>0</v>
      </c>
      <c r="BL52" s="20"/>
      <c r="BM52" s="20">
        <v>28640</v>
      </c>
      <c r="BN52" s="20">
        <v>167060.54</v>
      </c>
      <c r="BO52" s="20">
        <v>2763.83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/>
      <c r="CM52" s="20">
        <v>0</v>
      </c>
      <c r="CN52" s="20">
        <v>0</v>
      </c>
      <c r="CO52" s="20">
        <v>111843.51999999999</v>
      </c>
      <c r="CP52" s="20">
        <v>0</v>
      </c>
      <c r="CQ52" s="20">
        <v>0</v>
      </c>
      <c r="CR52" s="20">
        <v>0</v>
      </c>
      <c r="CS52" s="20">
        <v>6080</v>
      </c>
      <c r="CT52" s="20">
        <v>239760</v>
      </c>
      <c r="CU52" s="20">
        <v>23930.3</v>
      </c>
      <c r="CV52" s="20">
        <v>0</v>
      </c>
      <c r="CW52" s="20"/>
      <c r="CX52" s="20">
        <v>0</v>
      </c>
      <c r="CY52" s="20">
        <v>0</v>
      </c>
      <c r="CZ52" s="20">
        <v>0</v>
      </c>
      <c r="DA52" s="20">
        <v>0</v>
      </c>
      <c r="DB52" s="20">
        <v>42300</v>
      </c>
      <c r="DC52" s="20">
        <v>80488.648901898021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/>
      <c r="DJ52" s="20">
        <v>24699.999883770943</v>
      </c>
      <c r="DK52" s="22">
        <v>0</v>
      </c>
      <c r="DL52" s="20">
        <v>0</v>
      </c>
      <c r="DM52" s="20">
        <v>0</v>
      </c>
      <c r="DN52" s="20">
        <v>5540801.8016364789</v>
      </c>
      <c r="DO52" s="20">
        <f t="shared" si="0"/>
        <v>3988050.1404958814</v>
      </c>
      <c r="DP52" s="21">
        <v>702954</v>
      </c>
      <c r="DQ52" s="20">
        <f t="shared" si="20"/>
        <v>53700</v>
      </c>
      <c r="DR52" s="20">
        <f t="shared" si="21"/>
        <v>270539.99988377094</v>
      </c>
      <c r="DS52" s="20">
        <f t="shared" si="12"/>
        <v>378714.00011622906</v>
      </c>
      <c r="DT52" s="23">
        <f t="shared" si="13"/>
        <v>0.53874648997833297</v>
      </c>
      <c r="DU52" s="20">
        <f t="shared" si="22"/>
        <v>3847070.7505915063</v>
      </c>
      <c r="DV52" s="20">
        <f t="shared" si="23"/>
        <v>665347.6241328608</v>
      </c>
      <c r="DW52" s="20">
        <f t="shared" si="24"/>
        <v>15121.536912110472</v>
      </c>
      <c r="DX52" s="20">
        <f t="shared" si="25"/>
        <v>198464.37</v>
      </c>
      <c r="DY52" s="20">
        <f t="shared" si="26"/>
        <v>0</v>
      </c>
      <c r="DZ52" s="20">
        <f t="shared" si="27"/>
        <v>0</v>
      </c>
      <c r="EA52" s="20">
        <f t="shared" si="28"/>
        <v>0</v>
      </c>
      <c r="EB52" s="20">
        <f t="shared" si="29"/>
        <v>111843.51999999999</v>
      </c>
      <c r="EC52" s="20">
        <f t="shared" si="14"/>
        <v>378714.00011622906</v>
      </c>
      <c r="ED52" s="20">
        <f t="shared" si="15"/>
        <v>53700</v>
      </c>
      <c r="EE52" s="20">
        <f t="shared" si="15"/>
        <v>270539.99988377094</v>
      </c>
      <c r="EF52" s="20">
        <f t="shared" si="16"/>
        <v>702954</v>
      </c>
      <c r="EG52" s="23">
        <f t="shared" si="17"/>
        <v>0.53874648997833297</v>
      </c>
      <c r="EH52" s="20">
        <f t="shared" si="18"/>
        <v>5540801.801636477</v>
      </c>
    </row>
    <row r="53" spans="1:138" x14ac:dyDescent="0.25">
      <c r="A53" s="18">
        <v>344</v>
      </c>
      <c r="B53" t="s">
        <v>193</v>
      </c>
      <c r="C53" t="s">
        <v>135</v>
      </c>
      <c r="D53">
        <v>8</v>
      </c>
      <c r="E53">
        <v>307</v>
      </c>
      <c r="F53" s="19">
        <f t="shared" si="11"/>
        <v>0.7947882736156352</v>
      </c>
      <c r="G53">
        <v>244</v>
      </c>
      <c r="H53" s="20">
        <v>191050.75104188372</v>
      </c>
      <c r="I53" s="20">
        <v>110891.27068881014</v>
      </c>
      <c r="J53" s="20">
        <v>122331.79937332397</v>
      </c>
      <c r="K53" s="20">
        <v>0</v>
      </c>
      <c r="L53" s="20">
        <v>0</v>
      </c>
      <c r="M53" s="20">
        <v>89505.059196611037</v>
      </c>
      <c r="N53" s="20">
        <v>59866.796146808359</v>
      </c>
      <c r="O53" s="20">
        <v>0</v>
      </c>
      <c r="P53" s="20">
        <v>0</v>
      </c>
      <c r="Q53" s="20">
        <v>0</v>
      </c>
      <c r="R53" s="20"/>
      <c r="S53" s="20">
        <v>77625.750694703253</v>
      </c>
      <c r="T53" s="20">
        <v>60676.224767295193</v>
      </c>
      <c r="U53" s="20">
        <v>99432.634749854755</v>
      </c>
      <c r="V53" s="20">
        <v>110891.27068881014</v>
      </c>
      <c r="W53" s="20">
        <v>110891.27068881014</v>
      </c>
      <c r="X53" s="20">
        <v>110891.27068881014</v>
      </c>
      <c r="Y53" s="20">
        <v>110891.27068881014</v>
      </c>
      <c r="Z53" s="20">
        <v>0</v>
      </c>
      <c r="AA53" s="20"/>
      <c r="AB53" s="20">
        <v>221782.54137762028</v>
      </c>
      <c r="AC53" s="20">
        <v>66822.315389129435</v>
      </c>
      <c r="AD53" s="20">
        <v>0</v>
      </c>
      <c r="AE53" s="20">
        <v>0</v>
      </c>
      <c r="AF53" s="20">
        <v>332673.8120664304</v>
      </c>
      <c r="AG53" s="20">
        <v>100233.47308369415</v>
      </c>
      <c r="AH53" s="20">
        <v>332673.8120664304</v>
      </c>
      <c r="AI53" s="20">
        <v>100233.47308369415</v>
      </c>
      <c r="AJ53" s="20">
        <v>221782.54137762028</v>
      </c>
      <c r="AK53" s="20">
        <v>221782.54137762028</v>
      </c>
      <c r="AL53" s="20">
        <v>221782.54137762028</v>
      </c>
      <c r="AM53" s="20">
        <v>221782.54137762028</v>
      </c>
      <c r="AN53" s="20">
        <v>221782.54137762028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/>
      <c r="AX53" s="20">
        <v>0</v>
      </c>
      <c r="AY53" s="20">
        <v>110891.27068881014</v>
      </c>
      <c r="AZ53" s="20">
        <v>110891.27068881014</v>
      </c>
      <c r="BA53" s="20">
        <v>665347.6241328608</v>
      </c>
      <c r="BB53" s="20">
        <v>200466.94616738829</v>
      </c>
      <c r="BC53" s="20">
        <v>0</v>
      </c>
      <c r="BD53" s="20">
        <v>0</v>
      </c>
      <c r="BE53" s="20">
        <v>15121.536912110472</v>
      </c>
      <c r="BF53" s="20">
        <v>0</v>
      </c>
      <c r="BG53" s="20">
        <v>0</v>
      </c>
      <c r="BH53" s="21">
        <f>28640-7160</f>
        <v>21480</v>
      </c>
      <c r="BI53" s="21">
        <f>28640-7160</f>
        <v>21480</v>
      </c>
      <c r="BJ53" s="20">
        <v>10740</v>
      </c>
      <c r="BK53" s="20">
        <v>0</v>
      </c>
      <c r="BL53" s="20"/>
      <c r="BM53" s="20">
        <v>14320</v>
      </c>
      <c r="BN53" s="20">
        <v>129557.15</v>
      </c>
      <c r="BO53" s="20">
        <v>2143.38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/>
      <c r="CM53" s="20">
        <v>0</v>
      </c>
      <c r="CN53" s="20">
        <v>0</v>
      </c>
      <c r="CO53" s="20">
        <v>55921.759999999995</v>
      </c>
      <c r="CP53" s="20">
        <v>0</v>
      </c>
      <c r="CQ53" s="20">
        <v>0</v>
      </c>
      <c r="CR53" s="20">
        <v>0</v>
      </c>
      <c r="CS53" s="20">
        <v>9760</v>
      </c>
      <c r="CT53" s="20">
        <v>0</v>
      </c>
      <c r="CU53" s="20">
        <v>17460.970720720721</v>
      </c>
      <c r="CV53" s="20">
        <v>0</v>
      </c>
      <c r="CW53" s="20"/>
      <c r="CX53" s="20">
        <v>0</v>
      </c>
      <c r="CY53" s="20">
        <v>0</v>
      </c>
      <c r="CZ53" s="20">
        <v>0</v>
      </c>
      <c r="DA53" s="20">
        <v>0</v>
      </c>
      <c r="DB53" s="20">
        <v>30700</v>
      </c>
      <c r="DC53" s="20">
        <v>74398.038046549744</v>
      </c>
      <c r="DD53" s="20">
        <v>0</v>
      </c>
      <c r="DE53" s="20">
        <v>0</v>
      </c>
      <c r="DF53" s="20">
        <v>13859</v>
      </c>
      <c r="DG53" s="20">
        <v>0</v>
      </c>
      <c r="DH53" s="20">
        <v>0</v>
      </c>
      <c r="DI53" s="20"/>
      <c r="DJ53" s="20">
        <v>18850.000401958823</v>
      </c>
      <c r="DK53" s="22">
        <v>0</v>
      </c>
      <c r="DL53" s="20">
        <v>0</v>
      </c>
      <c r="DM53" s="20">
        <v>0</v>
      </c>
      <c r="DN53" s="20">
        <v>5041666.4511288414</v>
      </c>
      <c r="DO53" s="20">
        <f t="shared" si="0"/>
        <v>3403101.9019250488</v>
      </c>
      <c r="DP53" s="21">
        <v>564213</v>
      </c>
      <c r="DQ53" s="20">
        <f t="shared" si="20"/>
        <v>53700</v>
      </c>
      <c r="DR53" s="20">
        <f t="shared" si="21"/>
        <v>28610.000401958823</v>
      </c>
      <c r="DS53" s="20">
        <f t="shared" si="12"/>
        <v>481902.99959804118</v>
      </c>
      <c r="DT53" s="23">
        <f t="shared" si="13"/>
        <v>0.85411537769962975</v>
      </c>
      <c r="DU53" s="20">
        <f t="shared" si="22"/>
        <v>3172792.5125388606</v>
      </c>
      <c r="DV53" s="20">
        <f t="shared" si="23"/>
        <v>1087597.1116778695</v>
      </c>
      <c r="DW53" s="20">
        <f t="shared" si="24"/>
        <v>15121.536912110472</v>
      </c>
      <c r="DX53" s="20">
        <f t="shared" si="25"/>
        <v>146020.53</v>
      </c>
      <c r="DY53" s="20">
        <f t="shared" si="26"/>
        <v>0</v>
      </c>
      <c r="DZ53" s="20">
        <f t="shared" si="27"/>
        <v>0</v>
      </c>
      <c r="EA53" s="20">
        <f t="shared" si="28"/>
        <v>0</v>
      </c>
      <c r="EB53" s="20">
        <f t="shared" si="29"/>
        <v>55921.759999999995</v>
      </c>
      <c r="EC53" s="20">
        <f t="shared" si="14"/>
        <v>481902.99959804118</v>
      </c>
      <c r="ED53" s="20">
        <f t="shared" si="15"/>
        <v>53700</v>
      </c>
      <c r="EE53" s="20">
        <f t="shared" si="15"/>
        <v>28610.000401958823</v>
      </c>
      <c r="EF53" s="20">
        <f t="shared" si="16"/>
        <v>564213</v>
      </c>
      <c r="EG53" s="23">
        <f t="shared" si="17"/>
        <v>0.85411537769962975</v>
      </c>
      <c r="EH53" s="20">
        <f t="shared" si="18"/>
        <v>5041666.4511288404</v>
      </c>
    </row>
    <row r="54" spans="1:138" x14ac:dyDescent="0.25">
      <c r="A54" s="18">
        <v>417</v>
      </c>
      <c r="B54" t="s">
        <v>194</v>
      </c>
      <c r="C54" t="s">
        <v>152</v>
      </c>
      <c r="D54">
        <v>8</v>
      </c>
      <c r="E54">
        <v>216</v>
      </c>
      <c r="F54" s="19">
        <f t="shared" si="11"/>
        <v>0.92129629629629628</v>
      </c>
      <c r="G54">
        <v>199</v>
      </c>
      <c r="H54" s="20">
        <v>191050.75104188372</v>
      </c>
      <c r="I54" s="20">
        <v>110891.27068881014</v>
      </c>
      <c r="J54" s="20">
        <v>107040.32445165845</v>
      </c>
      <c r="K54" s="20">
        <v>110891.27068881014</v>
      </c>
      <c r="L54" s="20">
        <v>0</v>
      </c>
      <c r="M54" s="20">
        <v>44752.529598305518</v>
      </c>
      <c r="N54" s="20">
        <v>59866.796146808359</v>
      </c>
      <c r="O54" s="20">
        <v>0</v>
      </c>
      <c r="P54" s="20">
        <v>0</v>
      </c>
      <c r="Q54" s="20">
        <v>69924.031375330247</v>
      </c>
      <c r="R54" s="20"/>
      <c r="S54" s="20">
        <v>77625.750694703253</v>
      </c>
      <c r="T54" s="20">
        <v>60676.224767295193</v>
      </c>
      <c r="U54" s="20">
        <v>149148.95212478214</v>
      </c>
      <c r="V54" s="20">
        <v>55445.635344405069</v>
      </c>
      <c r="W54" s="20">
        <v>0</v>
      </c>
      <c r="X54" s="20">
        <v>0</v>
      </c>
      <c r="Y54" s="20">
        <v>0</v>
      </c>
      <c r="Z54" s="20">
        <v>0</v>
      </c>
      <c r="AA54" s="20"/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321584.6849975494</v>
      </c>
      <c r="AP54" s="20">
        <v>421386.82861747849</v>
      </c>
      <c r="AQ54" s="20">
        <v>343762.93913531146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/>
      <c r="AX54" s="20">
        <v>0</v>
      </c>
      <c r="AY54" s="20">
        <v>110891.27068881014</v>
      </c>
      <c r="AZ54" s="20">
        <v>332673.8120664304</v>
      </c>
      <c r="BA54" s="20">
        <v>998021.43619929126</v>
      </c>
      <c r="BB54" s="20">
        <v>133644.63077825887</v>
      </c>
      <c r="BC54" s="20">
        <v>48327.936512970991</v>
      </c>
      <c r="BD54" s="20">
        <v>0</v>
      </c>
      <c r="BE54" s="20">
        <v>10081.024608073649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/>
      <c r="BM54" s="20">
        <v>0</v>
      </c>
      <c r="BN54" s="20">
        <v>88644.37</v>
      </c>
      <c r="BO54" s="20">
        <v>1466.52</v>
      </c>
      <c r="BP54" s="20">
        <v>0</v>
      </c>
      <c r="BQ54" s="20">
        <v>0</v>
      </c>
      <c r="BR54" s="20">
        <v>0</v>
      </c>
      <c r="BS54" s="20">
        <v>152914.74921665495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221782.54137762028</v>
      </c>
      <c r="CL54" s="20"/>
      <c r="CM54" s="20">
        <v>23000</v>
      </c>
      <c r="CN54" s="20">
        <v>5000</v>
      </c>
      <c r="CO54" s="20">
        <v>244045.91999999998</v>
      </c>
      <c r="CP54" s="20">
        <v>100000</v>
      </c>
      <c r="CQ54" s="20">
        <v>0</v>
      </c>
      <c r="CR54" s="20">
        <v>75000</v>
      </c>
      <c r="CS54" s="20">
        <v>7960</v>
      </c>
      <c r="CT54" s="20">
        <v>0</v>
      </c>
      <c r="CU54" s="20">
        <v>18339.2</v>
      </c>
      <c r="CV54" s="20">
        <v>0</v>
      </c>
      <c r="CW54" s="20"/>
      <c r="CX54" s="20">
        <v>0</v>
      </c>
      <c r="CY54" s="20">
        <v>0</v>
      </c>
      <c r="CZ54" s="20">
        <v>0</v>
      </c>
      <c r="DA54" s="20">
        <v>0</v>
      </c>
      <c r="DB54" s="20">
        <v>21600</v>
      </c>
      <c r="DC54" s="20">
        <v>68141.404797052004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/>
      <c r="DJ54" s="20">
        <v>48749.999608844519</v>
      </c>
      <c r="DK54" s="22">
        <v>0</v>
      </c>
      <c r="DL54" s="20">
        <v>0</v>
      </c>
      <c r="DM54" s="20">
        <v>0</v>
      </c>
      <c r="DN54" s="20">
        <v>4834332.8055271385</v>
      </c>
      <c r="DO54" s="20">
        <f t="shared" si="0"/>
        <v>2294460.2082610233</v>
      </c>
      <c r="DP54" s="21">
        <v>460157</v>
      </c>
      <c r="DQ54" s="20">
        <f t="shared" si="20"/>
        <v>0</v>
      </c>
      <c r="DR54" s="20">
        <f t="shared" si="21"/>
        <v>209624.74882549947</v>
      </c>
      <c r="DS54" s="20">
        <f t="shared" si="12"/>
        <v>250532.25117450053</v>
      </c>
      <c r="DT54" s="23">
        <f t="shared" si="13"/>
        <v>0.54444950565676609</v>
      </c>
      <c r="DU54" s="20">
        <f t="shared" si="22"/>
        <v>2331378.8846733035</v>
      </c>
      <c r="DV54" s="20">
        <f t="shared" si="23"/>
        <v>1623559.0862457617</v>
      </c>
      <c r="DW54" s="20">
        <f t="shared" si="24"/>
        <v>10081.024608073649</v>
      </c>
      <c r="DX54" s="20">
        <f t="shared" si="25"/>
        <v>165110.89000000001</v>
      </c>
      <c r="DY54" s="20">
        <f t="shared" si="26"/>
        <v>0</v>
      </c>
      <c r="DZ54" s="20">
        <f t="shared" si="27"/>
        <v>0</v>
      </c>
      <c r="EA54" s="20">
        <f t="shared" si="28"/>
        <v>0</v>
      </c>
      <c r="EB54" s="20">
        <f t="shared" si="29"/>
        <v>244045.91999999998</v>
      </c>
      <c r="EC54" s="20">
        <f t="shared" si="14"/>
        <v>250532.25117450053</v>
      </c>
      <c r="ED54" s="20">
        <f t="shared" si="15"/>
        <v>0</v>
      </c>
      <c r="EE54" s="20">
        <f t="shared" si="15"/>
        <v>209624.74882549947</v>
      </c>
      <c r="EF54" s="20">
        <f t="shared" si="16"/>
        <v>460157</v>
      </c>
      <c r="EG54" s="23">
        <f t="shared" si="17"/>
        <v>0.54444950565676609</v>
      </c>
      <c r="EH54" s="20">
        <f t="shared" si="18"/>
        <v>4834332.8055271395</v>
      </c>
    </row>
    <row r="55" spans="1:138" x14ac:dyDescent="0.25">
      <c r="A55" s="18">
        <v>261</v>
      </c>
      <c r="B55" t="s">
        <v>195</v>
      </c>
      <c r="C55" t="s">
        <v>135</v>
      </c>
      <c r="D55">
        <v>4</v>
      </c>
      <c r="E55">
        <v>981</v>
      </c>
      <c r="F55" s="19">
        <f t="shared" si="11"/>
        <v>4.1794087665647302E-2</v>
      </c>
      <c r="G55">
        <v>41</v>
      </c>
      <c r="H55" s="20">
        <v>191050.75104188372</v>
      </c>
      <c r="I55" s="20">
        <v>110891.27068881014</v>
      </c>
      <c r="J55" s="20">
        <v>382286.87304163736</v>
      </c>
      <c r="K55" s="20">
        <v>0</v>
      </c>
      <c r="L55" s="20">
        <v>0</v>
      </c>
      <c r="M55" s="20">
        <v>89505.059196611037</v>
      </c>
      <c r="N55" s="20">
        <v>59866.796146808359</v>
      </c>
      <c r="O55" s="20">
        <v>112077.98469574918</v>
      </c>
      <c r="P55" s="20">
        <v>0</v>
      </c>
      <c r="Q55" s="20">
        <v>0</v>
      </c>
      <c r="R55" s="20"/>
      <c r="S55" s="20">
        <v>77625.750694703253</v>
      </c>
      <c r="T55" s="20">
        <v>60676.224767295193</v>
      </c>
      <c r="U55" s="20">
        <v>198865.26949970951</v>
      </c>
      <c r="V55" s="20">
        <v>110891.27068881014</v>
      </c>
      <c r="W55" s="20">
        <v>110891.27068881014</v>
      </c>
      <c r="X55" s="20">
        <v>110891.27068881014</v>
      </c>
      <c r="Y55" s="20">
        <v>110891.27068881014</v>
      </c>
      <c r="Z55" s="20">
        <v>499010.71809964563</v>
      </c>
      <c r="AA55" s="20"/>
      <c r="AB55" s="20">
        <v>0</v>
      </c>
      <c r="AC55" s="20">
        <v>0</v>
      </c>
      <c r="AD55" s="20">
        <v>0</v>
      </c>
      <c r="AE55" s="20">
        <v>0</v>
      </c>
      <c r="AF55" s="20">
        <v>443565.08275524055</v>
      </c>
      <c r="AG55" s="20">
        <v>133644.63077825887</v>
      </c>
      <c r="AH55" s="20">
        <v>665347.6241328608</v>
      </c>
      <c r="AI55" s="20">
        <v>200466.94616738829</v>
      </c>
      <c r="AJ55" s="20">
        <v>776238.89482167095</v>
      </c>
      <c r="AK55" s="20">
        <v>776238.89482167095</v>
      </c>
      <c r="AL55" s="20">
        <v>776238.89482167095</v>
      </c>
      <c r="AM55" s="20">
        <v>665347.6241328608</v>
      </c>
      <c r="AN55" s="20">
        <v>554456.35344405065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/>
      <c r="AX55" s="20">
        <v>0</v>
      </c>
      <c r="AY55" s="20">
        <v>110891.27068881014</v>
      </c>
      <c r="AZ55" s="20">
        <v>332673.8120664304</v>
      </c>
      <c r="BA55" s="20">
        <v>998021.43619929126</v>
      </c>
      <c r="BB55" s="20">
        <v>100233.47308369415</v>
      </c>
      <c r="BC55" s="20">
        <v>0</v>
      </c>
      <c r="BD55" s="20">
        <v>0</v>
      </c>
      <c r="BE55" s="20">
        <v>443565.08275524055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/>
      <c r="BM55" s="20">
        <v>0</v>
      </c>
      <c r="BN55" s="20">
        <v>0</v>
      </c>
      <c r="BO55" s="20">
        <v>0</v>
      </c>
      <c r="BP55" s="20">
        <v>23500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/>
      <c r="CM55" s="20">
        <v>0</v>
      </c>
      <c r="CN55" s="20">
        <v>0</v>
      </c>
      <c r="CO55" s="20">
        <v>111843.51999999999</v>
      </c>
      <c r="CP55" s="20">
        <v>0</v>
      </c>
      <c r="CQ55" s="20">
        <v>0</v>
      </c>
      <c r="CR55" s="20">
        <v>0</v>
      </c>
      <c r="CS55" s="20">
        <v>0</v>
      </c>
      <c r="CT55" s="20">
        <v>0</v>
      </c>
      <c r="CU55" s="20">
        <v>50089.338509316774</v>
      </c>
      <c r="CV55" s="20">
        <v>0</v>
      </c>
      <c r="CW55" s="20"/>
      <c r="CX55" s="20">
        <v>0</v>
      </c>
      <c r="CY55" s="20">
        <v>0</v>
      </c>
      <c r="CZ55" s="20">
        <v>0</v>
      </c>
      <c r="DA55" s="20">
        <v>0</v>
      </c>
      <c r="DB55" s="20">
        <v>98100</v>
      </c>
      <c r="DC55" s="20">
        <v>148157.86400088543</v>
      </c>
      <c r="DD55" s="20">
        <v>591857.47619256563</v>
      </c>
      <c r="DE55" s="20">
        <v>0</v>
      </c>
      <c r="DF55" s="20">
        <v>0</v>
      </c>
      <c r="DG55" s="20">
        <v>0</v>
      </c>
      <c r="DH55" s="20">
        <v>0</v>
      </c>
      <c r="DI55" s="20"/>
      <c r="DJ55" s="20">
        <v>4375.0000570435077</v>
      </c>
      <c r="DK55" s="22">
        <v>0</v>
      </c>
      <c r="DL55" s="20">
        <v>0</v>
      </c>
      <c r="DM55" s="20">
        <v>0</v>
      </c>
      <c r="DN55" s="20">
        <v>10230275.000057044</v>
      </c>
      <c r="DO55" s="20">
        <f t="shared" si="0"/>
        <v>7176146.6840522606</v>
      </c>
      <c r="DP55" s="21">
        <v>94806</v>
      </c>
      <c r="DQ55" s="20">
        <f t="shared" si="20"/>
        <v>0</v>
      </c>
      <c r="DR55" s="20">
        <f t="shared" si="21"/>
        <v>4375.0000570435077</v>
      </c>
      <c r="DS55" s="20">
        <f t="shared" si="12"/>
        <v>90430.999942956492</v>
      </c>
      <c r="DT55" s="23">
        <f t="shared" si="13"/>
        <v>0.95385313105664715</v>
      </c>
      <c r="DU55" s="20">
        <f t="shared" si="22"/>
        <v>7422882.9290710129</v>
      </c>
      <c r="DV55" s="20">
        <f t="shared" si="23"/>
        <v>1541819.992038226</v>
      </c>
      <c r="DW55" s="20">
        <f t="shared" si="24"/>
        <v>443565.08275524055</v>
      </c>
      <c r="DX55" s="20">
        <f t="shared" si="25"/>
        <v>23500</v>
      </c>
      <c r="DY55" s="20">
        <f t="shared" si="26"/>
        <v>0</v>
      </c>
      <c r="DZ55" s="20">
        <f t="shared" si="27"/>
        <v>591857.47619256563</v>
      </c>
      <c r="EA55" s="20">
        <f t="shared" si="28"/>
        <v>0</v>
      </c>
      <c r="EB55" s="20">
        <f t="shared" si="29"/>
        <v>111843.51999999999</v>
      </c>
      <c r="EC55" s="20">
        <f t="shared" si="14"/>
        <v>90430.999942956492</v>
      </c>
      <c r="ED55" s="20">
        <f t="shared" si="15"/>
        <v>0</v>
      </c>
      <c r="EE55" s="20">
        <f t="shared" si="15"/>
        <v>4375.0000570435077</v>
      </c>
      <c r="EF55" s="20">
        <f t="shared" si="16"/>
        <v>94806</v>
      </c>
      <c r="EG55" s="23">
        <f t="shared" si="17"/>
        <v>0.95385313105664715</v>
      </c>
      <c r="EH55" s="20">
        <f t="shared" si="18"/>
        <v>10230275.000057044</v>
      </c>
    </row>
    <row r="56" spans="1:138" x14ac:dyDescent="0.25">
      <c r="A56" s="18">
        <v>262</v>
      </c>
      <c r="B56" t="s">
        <v>196</v>
      </c>
      <c r="C56" t="s">
        <v>135</v>
      </c>
      <c r="D56">
        <v>5</v>
      </c>
      <c r="E56">
        <v>419</v>
      </c>
      <c r="F56" s="19">
        <f t="shared" si="11"/>
        <v>0.50835322195704058</v>
      </c>
      <c r="G56">
        <v>213</v>
      </c>
      <c r="H56" s="20">
        <v>191050.75104188372</v>
      </c>
      <c r="I56" s="20">
        <v>110891.27068881014</v>
      </c>
      <c r="J56" s="20">
        <v>152914.74921665495</v>
      </c>
      <c r="K56" s="20">
        <v>0</v>
      </c>
      <c r="L56" s="20">
        <v>0</v>
      </c>
      <c r="M56" s="20">
        <v>89505.059196611037</v>
      </c>
      <c r="N56" s="20">
        <v>59866.796146808359</v>
      </c>
      <c r="O56" s="20">
        <v>44831.193878299673</v>
      </c>
      <c r="P56" s="20">
        <v>0</v>
      </c>
      <c r="Q56" s="20">
        <v>0</v>
      </c>
      <c r="R56" s="20"/>
      <c r="S56" s="20">
        <v>77625.750694703253</v>
      </c>
      <c r="T56" s="20">
        <v>60676.224767295193</v>
      </c>
      <c r="U56" s="20">
        <v>149148.95212478214</v>
      </c>
      <c r="V56" s="20">
        <v>110891.27068881014</v>
      </c>
      <c r="W56" s="20">
        <v>110891.27068881014</v>
      </c>
      <c r="X56" s="20">
        <v>110891.27068881014</v>
      </c>
      <c r="Y56" s="20">
        <v>110891.27068881014</v>
      </c>
      <c r="Z56" s="20">
        <v>166336.9060332152</v>
      </c>
      <c r="AA56" s="20"/>
      <c r="AB56" s="20">
        <v>110891.27068881014</v>
      </c>
      <c r="AC56" s="20">
        <v>33411.157694564718</v>
      </c>
      <c r="AD56" s="20">
        <v>332673.8120664304</v>
      </c>
      <c r="AE56" s="20">
        <v>100233.47308369415</v>
      </c>
      <c r="AF56" s="20">
        <v>110891.27068881014</v>
      </c>
      <c r="AG56" s="20">
        <v>33411.157694564718</v>
      </c>
      <c r="AH56" s="20">
        <v>443565.08275524055</v>
      </c>
      <c r="AI56" s="20">
        <v>133644.63077825887</v>
      </c>
      <c r="AJ56" s="20">
        <v>332673.8120664304</v>
      </c>
      <c r="AK56" s="20">
        <v>221782.54137762028</v>
      </c>
      <c r="AL56" s="20">
        <v>332673.8120664304</v>
      </c>
      <c r="AM56" s="20">
        <v>221782.54137762028</v>
      </c>
      <c r="AN56" s="20">
        <v>221782.54137762028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/>
      <c r="AX56" s="20">
        <v>0</v>
      </c>
      <c r="AY56" s="20">
        <v>110891.27068881014</v>
      </c>
      <c r="AZ56" s="20">
        <v>110891.27068881014</v>
      </c>
      <c r="BA56" s="20">
        <v>665347.6241328608</v>
      </c>
      <c r="BB56" s="20">
        <v>200466.94616738829</v>
      </c>
      <c r="BC56" s="20">
        <v>0</v>
      </c>
      <c r="BD56" s="20">
        <v>0</v>
      </c>
      <c r="BE56" s="20">
        <v>110891.27068881014</v>
      </c>
      <c r="BF56" s="20">
        <v>0</v>
      </c>
      <c r="BG56" s="20">
        <v>0</v>
      </c>
      <c r="BH56" s="21">
        <f>42960-14320</f>
        <v>28640</v>
      </c>
      <c r="BI56" s="21">
        <f>42960-14320</f>
        <v>28640</v>
      </c>
      <c r="BJ56" s="20">
        <v>0</v>
      </c>
      <c r="BK56" s="20">
        <v>0</v>
      </c>
      <c r="BL56" s="20"/>
      <c r="BM56" s="20">
        <v>28640</v>
      </c>
      <c r="BN56" s="20">
        <v>157258.51999999999</v>
      </c>
      <c r="BO56" s="20">
        <v>2601.67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/>
      <c r="CM56" s="20">
        <v>0</v>
      </c>
      <c r="CN56" s="20">
        <v>0</v>
      </c>
      <c r="CO56" s="20">
        <v>55921.759999999995</v>
      </c>
      <c r="CP56" s="20">
        <v>0</v>
      </c>
      <c r="CQ56" s="20">
        <v>0</v>
      </c>
      <c r="CR56" s="20">
        <v>0</v>
      </c>
      <c r="CS56" s="20">
        <v>4260</v>
      </c>
      <c r="CT56" s="20">
        <v>0</v>
      </c>
      <c r="CU56" s="20">
        <v>24093.16</v>
      </c>
      <c r="CV56" s="20">
        <v>0</v>
      </c>
      <c r="CW56" s="20"/>
      <c r="CX56" s="20">
        <v>0</v>
      </c>
      <c r="CY56" s="20">
        <v>0</v>
      </c>
      <c r="CZ56" s="20">
        <v>0</v>
      </c>
      <c r="DA56" s="20">
        <v>0</v>
      </c>
      <c r="DB56" s="20">
        <v>41900</v>
      </c>
      <c r="DC56" s="20">
        <v>86526.523384295971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/>
      <c r="DJ56" s="20">
        <v>13750.000512227416</v>
      </c>
      <c r="DK56" s="22">
        <v>0</v>
      </c>
      <c r="DL56" s="20">
        <v>0</v>
      </c>
      <c r="DM56" s="20">
        <v>0</v>
      </c>
      <c r="DN56" s="20">
        <v>5846549.8565236032</v>
      </c>
      <c r="DO56" s="20">
        <f t="shared" si="0"/>
        <v>4040898.5960579142</v>
      </c>
      <c r="DP56" s="21">
        <v>492530</v>
      </c>
      <c r="DQ56" s="20">
        <f t="shared" si="20"/>
        <v>57280</v>
      </c>
      <c r="DR56" s="20">
        <f t="shared" si="21"/>
        <v>18010.000512227416</v>
      </c>
      <c r="DS56" s="20">
        <f t="shared" si="12"/>
        <v>417239.99948777258</v>
      </c>
      <c r="DT56" s="23">
        <f t="shared" si="13"/>
        <v>0.84713621401289785</v>
      </c>
      <c r="DU56" s="20">
        <f t="shared" si="22"/>
        <v>3911109.5241569225</v>
      </c>
      <c r="DV56" s="20">
        <f t="shared" si="23"/>
        <v>1087597.1116778695</v>
      </c>
      <c r="DW56" s="20">
        <f t="shared" si="24"/>
        <v>110891.27068881014</v>
      </c>
      <c r="DX56" s="20">
        <f t="shared" si="25"/>
        <v>188500.19</v>
      </c>
      <c r="DY56" s="20">
        <f t="shared" si="26"/>
        <v>0</v>
      </c>
      <c r="DZ56" s="20">
        <f t="shared" si="27"/>
        <v>0</v>
      </c>
      <c r="EA56" s="20">
        <f t="shared" si="28"/>
        <v>0</v>
      </c>
      <c r="EB56" s="20">
        <f t="shared" si="29"/>
        <v>55921.759999999995</v>
      </c>
      <c r="EC56" s="20">
        <f t="shared" si="14"/>
        <v>417239.99948777258</v>
      </c>
      <c r="ED56" s="20">
        <f t="shared" si="15"/>
        <v>57280</v>
      </c>
      <c r="EE56" s="20">
        <f t="shared" si="15"/>
        <v>18010.000512227416</v>
      </c>
      <c r="EF56" s="20">
        <f t="shared" si="16"/>
        <v>492530</v>
      </c>
      <c r="EG56" s="23">
        <f t="shared" si="17"/>
        <v>0.84713621401289785</v>
      </c>
      <c r="EH56" s="20">
        <f t="shared" si="18"/>
        <v>5846549.8565236023</v>
      </c>
    </row>
    <row r="57" spans="1:138" x14ac:dyDescent="0.25">
      <c r="A57" s="18">
        <v>370</v>
      </c>
      <c r="B57" t="s">
        <v>197</v>
      </c>
      <c r="C57" t="s">
        <v>135</v>
      </c>
      <c r="D57">
        <v>5</v>
      </c>
      <c r="E57">
        <v>317</v>
      </c>
      <c r="F57" s="19">
        <f t="shared" si="11"/>
        <v>0.58990536277602523</v>
      </c>
      <c r="G57">
        <v>187</v>
      </c>
      <c r="H57" s="20">
        <v>191050.75104188372</v>
      </c>
      <c r="I57" s="20">
        <v>110891.27068881014</v>
      </c>
      <c r="J57" s="20">
        <v>122331.79937332397</v>
      </c>
      <c r="K57" s="20">
        <v>0</v>
      </c>
      <c r="L57" s="20">
        <v>0</v>
      </c>
      <c r="M57" s="20">
        <v>89505.059196611037</v>
      </c>
      <c r="N57" s="20">
        <v>59866.796146808359</v>
      </c>
      <c r="O57" s="20">
        <v>0</v>
      </c>
      <c r="P57" s="20">
        <v>0</v>
      </c>
      <c r="Q57" s="20">
        <v>0</v>
      </c>
      <c r="R57" s="20"/>
      <c r="S57" s="20">
        <v>77625.750694703253</v>
      </c>
      <c r="T57" s="20">
        <v>60676.224767295193</v>
      </c>
      <c r="U57" s="20">
        <v>99432.634749854755</v>
      </c>
      <c r="V57" s="20">
        <v>110891.27068881014</v>
      </c>
      <c r="W57" s="20">
        <v>110891.27068881014</v>
      </c>
      <c r="X57" s="20">
        <v>110891.27068881014</v>
      </c>
      <c r="Y57" s="20">
        <v>110891.27068881014</v>
      </c>
      <c r="Z57" s="20">
        <v>0</v>
      </c>
      <c r="AA57" s="20"/>
      <c r="AB57" s="20">
        <v>332673.8120664304</v>
      </c>
      <c r="AC57" s="20">
        <v>100233.47308369415</v>
      </c>
      <c r="AD57" s="20">
        <v>0</v>
      </c>
      <c r="AE57" s="20">
        <v>0</v>
      </c>
      <c r="AF57" s="20">
        <v>221782.54137762028</v>
      </c>
      <c r="AG57" s="20">
        <v>66822.315389129435</v>
      </c>
      <c r="AH57" s="20">
        <v>221782.54137762028</v>
      </c>
      <c r="AI57" s="20">
        <v>66822.315389129435</v>
      </c>
      <c r="AJ57" s="20">
        <v>221782.54137762028</v>
      </c>
      <c r="AK57" s="20">
        <v>110891.27068881014</v>
      </c>
      <c r="AL57" s="20">
        <v>221782.54137762028</v>
      </c>
      <c r="AM57" s="20">
        <v>221782.54137762028</v>
      </c>
      <c r="AN57" s="20">
        <v>221782.54137762028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/>
      <c r="AX57" s="20">
        <v>0</v>
      </c>
      <c r="AY57" s="20">
        <v>110891.27068881014</v>
      </c>
      <c r="AZ57" s="20">
        <v>332673.8120664304</v>
      </c>
      <c r="BA57" s="20">
        <v>1108912.7068881013</v>
      </c>
      <c r="BB57" s="20">
        <v>334111.57694564719</v>
      </c>
      <c r="BC57" s="20">
        <v>96655.873025941983</v>
      </c>
      <c r="BD57" s="20">
        <v>114084.97559574516</v>
      </c>
      <c r="BE57" s="20">
        <v>221782.54137762028</v>
      </c>
      <c r="BF57" s="20">
        <v>0</v>
      </c>
      <c r="BG57" s="20">
        <v>0</v>
      </c>
      <c r="BH57" s="21">
        <f>28640-7160</f>
        <v>21480</v>
      </c>
      <c r="BI57" s="21">
        <f>28640-7160</f>
        <v>21480</v>
      </c>
      <c r="BJ57" s="20">
        <v>10740</v>
      </c>
      <c r="BK57" s="20">
        <v>0</v>
      </c>
      <c r="BL57" s="20"/>
      <c r="BM57" s="20">
        <v>14320</v>
      </c>
      <c r="BN57" s="20">
        <v>131261.85</v>
      </c>
      <c r="BO57" s="20">
        <v>2171.58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110891.27068881014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/>
      <c r="CM57" s="20">
        <v>0</v>
      </c>
      <c r="CN57" s="20">
        <v>0</v>
      </c>
      <c r="CO57" s="20">
        <v>55921.759999999995</v>
      </c>
      <c r="CP57" s="20">
        <v>0</v>
      </c>
      <c r="CQ57" s="20">
        <v>0</v>
      </c>
      <c r="CR57" s="20">
        <v>0</v>
      </c>
      <c r="CS57" s="20">
        <v>3740</v>
      </c>
      <c r="CT57" s="20">
        <v>0</v>
      </c>
      <c r="CU57" s="20">
        <v>18413.062264150944</v>
      </c>
      <c r="CV57" s="20">
        <v>0</v>
      </c>
      <c r="CW57" s="20"/>
      <c r="CX57" s="20">
        <v>0</v>
      </c>
      <c r="CY57" s="20">
        <v>0</v>
      </c>
      <c r="CZ57" s="20">
        <v>0</v>
      </c>
      <c r="DA57" s="20">
        <v>0</v>
      </c>
      <c r="DB57" s="20">
        <v>31700</v>
      </c>
      <c r="DC57" s="20">
        <v>89873.364630260447</v>
      </c>
      <c r="DD57" s="20">
        <v>0</v>
      </c>
      <c r="DE57" s="20">
        <v>134050</v>
      </c>
      <c r="DF57" s="20">
        <v>0</v>
      </c>
      <c r="DG57" s="20">
        <v>0</v>
      </c>
      <c r="DH57" s="20">
        <v>0</v>
      </c>
      <c r="DI57" s="20"/>
      <c r="DJ57" s="20">
        <v>16899.999598041177</v>
      </c>
      <c r="DK57" s="22">
        <v>0</v>
      </c>
      <c r="DL57" s="20">
        <v>0</v>
      </c>
      <c r="DM57" s="20">
        <v>0</v>
      </c>
      <c r="DN57" s="20">
        <v>6245139.4480670048</v>
      </c>
      <c r="DO57" s="20">
        <f t="shared" si="0"/>
        <v>3165335.6209800043</v>
      </c>
      <c r="DP57" s="21">
        <v>432409</v>
      </c>
      <c r="DQ57" s="20">
        <f t="shared" si="20"/>
        <v>53700</v>
      </c>
      <c r="DR57" s="20">
        <f t="shared" si="21"/>
        <v>131531.27028685133</v>
      </c>
      <c r="DS57" s="20">
        <f t="shared" si="12"/>
        <v>247177.72971314867</v>
      </c>
      <c r="DT57" s="23">
        <f t="shared" si="13"/>
        <v>0.5716294751338401</v>
      </c>
      <c r="DU57" s="20">
        <f t="shared" si="22"/>
        <v>3155892.5014787083</v>
      </c>
      <c r="DV57" s="20">
        <f t="shared" si="23"/>
        <v>2097330.2152106762</v>
      </c>
      <c r="DW57" s="20">
        <f t="shared" si="24"/>
        <v>221782.54137762028</v>
      </c>
      <c r="DX57" s="20">
        <f t="shared" si="25"/>
        <v>147753.43</v>
      </c>
      <c r="DY57" s="20">
        <f t="shared" si="26"/>
        <v>134050</v>
      </c>
      <c r="DZ57" s="20">
        <f t="shared" si="27"/>
        <v>0</v>
      </c>
      <c r="EA57" s="20">
        <f t="shared" si="28"/>
        <v>0</v>
      </c>
      <c r="EB57" s="20">
        <f t="shared" si="29"/>
        <v>55921.759999999995</v>
      </c>
      <c r="EC57" s="20">
        <f t="shared" si="14"/>
        <v>247177.72971314867</v>
      </c>
      <c r="ED57" s="20">
        <f t="shared" si="15"/>
        <v>53700</v>
      </c>
      <c r="EE57" s="20">
        <f t="shared" si="15"/>
        <v>131531.27028685133</v>
      </c>
      <c r="EF57" s="20">
        <f t="shared" si="16"/>
        <v>432409</v>
      </c>
      <c r="EG57" s="23">
        <f t="shared" si="17"/>
        <v>0.5716294751338401</v>
      </c>
      <c r="EH57" s="20">
        <f t="shared" si="18"/>
        <v>6245139.4480670039</v>
      </c>
    </row>
    <row r="58" spans="1:138" x14ac:dyDescent="0.25">
      <c r="A58" s="18">
        <v>264</v>
      </c>
      <c r="B58" t="s">
        <v>198</v>
      </c>
      <c r="C58" t="s">
        <v>150</v>
      </c>
      <c r="D58">
        <v>4</v>
      </c>
      <c r="E58">
        <v>347</v>
      </c>
      <c r="F58" s="19">
        <f t="shared" si="11"/>
        <v>0.56484149855907784</v>
      </c>
      <c r="G58">
        <v>196</v>
      </c>
      <c r="H58" s="20">
        <v>191050.75104188372</v>
      </c>
      <c r="I58" s="20">
        <v>110891.27068881014</v>
      </c>
      <c r="J58" s="20">
        <v>137623.27429498945</v>
      </c>
      <c r="K58" s="20">
        <v>110891.27068881014</v>
      </c>
      <c r="L58" s="20">
        <v>0</v>
      </c>
      <c r="M58" s="20">
        <v>89505.059196611037</v>
      </c>
      <c r="N58" s="20">
        <v>59866.796146808359</v>
      </c>
      <c r="O58" s="20">
        <v>0</v>
      </c>
      <c r="P58" s="20">
        <v>0</v>
      </c>
      <c r="Q58" s="20">
        <v>0</v>
      </c>
      <c r="R58" s="20"/>
      <c r="S58" s="20">
        <v>77625.750694703253</v>
      </c>
      <c r="T58" s="20">
        <v>60676.224767295193</v>
      </c>
      <c r="U58" s="20">
        <v>99432.634749854755</v>
      </c>
      <c r="V58" s="20">
        <v>110891.27068881014</v>
      </c>
      <c r="W58" s="20">
        <v>110891.27068881014</v>
      </c>
      <c r="X58" s="20">
        <v>110891.27068881014</v>
      </c>
      <c r="Y58" s="20">
        <v>110891.27068881014</v>
      </c>
      <c r="Z58" s="20">
        <v>0</v>
      </c>
      <c r="AA58" s="20"/>
      <c r="AB58" s="20">
        <v>110891.27068881014</v>
      </c>
      <c r="AC58" s="20">
        <v>33411.157694564718</v>
      </c>
      <c r="AD58" s="20">
        <v>221782.54137762028</v>
      </c>
      <c r="AE58" s="20">
        <v>66822.315389129435</v>
      </c>
      <c r="AF58" s="20">
        <v>110891.27068881014</v>
      </c>
      <c r="AG58" s="20">
        <v>33411.157694564718</v>
      </c>
      <c r="AH58" s="20">
        <v>221782.54137762028</v>
      </c>
      <c r="AI58" s="20">
        <v>66822.315389129435</v>
      </c>
      <c r="AJ58" s="20">
        <v>221782.54137762028</v>
      </c>
      <c r="AK58" s="20">
        <v>221782.54137762028</v>
      </c>
      <c r="AL58" s="20">
        <v>221782.54137762028</v>
      </c>
      <c r="AM58" s="20">
        <v>221782.54137762028</v>
      </c>
      <c r="AN58" s="20">
        <v>221782.54137762028</v>
      </c>
      <c r="AO58" s="20">
        <v>0</v>
      </c>
      <c r="AP58" s="20">
        <v>0</v>
      </c>
      <c r="AQ58" s="20">
        <v>221782.54137762028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/>
      <c r="AX58" s="20">
        <v>0</v>
      </c>
      <c r="AY58" s="20">
        <v>110891.27068881014</v>
      </c>
      <c r="AZ58" s="20">
        <v>443565.08275524055</v>
      </c>
      <c r="BA58" s="20">
        <v>887130.16551048111</v>
      </c>
      <c r="BB58" s="20">
        <v>133644.63077825887</v>
      </c>
      <c r="BC58" s="20">
        <v>144983.80953891296</v>
      </c>
      <c r="BD58" s="20">
        <v>0</v>
      </c>
      <c r="BE58" s="20">
        <v>831684.53016607603</v>
      </c>
      <c r="BF58" s="20">
        <v>0</v>
      </c>
      <c r="BG58" s="20">
        <v>110891.27068881014</v>
      </c>
      <c r="BH58" s="21">
        <f>35800-14320</f>
        <v>21480</v>
      </c>
      <c r="BI58" s="21">
        <f>35800-14320</f>
        <v>21480</v>
      </c>
      <c r="BJ58" s="20">
        <v>10740</v>
      </c>
      <c r="BK58" s="20">
        <v>0</v>
      </c>
      <c r="BL58" s="20"/>
      <c r="BM58" s="20">
        <v>28640</v>
      </c>
      <c r="BN58" s="20">
        <v>155979.99</v>
      </c>
      <c r="BO58" s="20">
        <v>2580.5100000000002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221782.54137762028</v>
      </c>
      <c r="CL58" s="20"/>
      <c r="CM58" s="20">
        <v>23000</v>
      </c>
      <c r="CN58" s="20">
        <v>5000</v>
      </c>
      <c r="CO58" s="20">
        <v>111843.51999999999</v>
      </c>
      <c r="CP58" s="20">
        <v>100000</v>
      </c>
      <c r="CQ58" s="20">
        <v>0</v>
      </c>
      <c r="CR58" s="20">
        <v>0</v>
      </c>
      <c r="CS58" s="20">
        <v>3920</v>
      </c>
      <c r="CT58" s="20">
        <v>0</v>
      </c>
      <c r="CU58" s="20">
        <v>20453.125</v>
      </c>
      <c r="CV58" s="20">
        <v>0</v>
      </c>
      <c r="CW58" s="20"/>
      <c r="CX58" s="20">
        <v>0</v>
      </c>
      <c r="CY58" s="20">
        <v>0</v>
      </c>
      <c r="CZ58" s="20">
        <v>0</v>
      </c>
      <c r="DA58" s="20">
        <v>0</v>
      </c>
      <c r="DB58" s="20">
        <v>34700</v>
      </c>
      <c r="DC58" s="20">
        <v>105651.60088503252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/>
      <c r="DJ58" s="20">
        <v>24474.999151751399</v>
      </c>
      <c r="DK58" s="22">
        <v>0</v>
      </c>
      <c r="DL58" s="20">
        <v>0</v>
      </c>
      <c r="DM58" s="20">
        <v>0</v>
      </c>
      <c r="DN58" s="20">
        <v>7132154.9801319716</v>
      </c>
      <c r="DO58" s="20">
        <f t="shared" si="0"/>
        <v>3850490.590641777</v>
      </c>
      <c r="DP58" s="21">
        <v>453220</v>
      </c>
      <c r="DQ58" s="20">
        <f t="shared" si="20"/>
        <v>53700</v>
      </c>
      <c r="DR58" s="20">
        <f t="shared" si="21"/>
        <v>28394.999151751399</v>
      </c>
      <c r="DS58" s="20">
        <f t="shared" si="12"/>
        <v>371125.0008482486</v>
      </c>
      <c r="DT58" s="23">
        <f t="shared" si="13"/>
        <v>0.81886280580788273</v>
      </c>
      <c r="DU58" s="20">
        <f t="shared" si="22"/>
        <v>3717100.2000053814</v>
      </c>
      <c r="DV58" s="20">
        <f t="shared" si="23"/>
        <v>1720214.9592717036</v>
      </c>
      <c r="DW58" s="20">
        <f t="shared" si="24"/>
        <v>942575.80085488618</v>
      </c>
      <c r="DX58" s="20">
        <f t="shared" si="25"/>
        <v>187200.5</v>
      </c>
      <c r="DY58" s="20">
        <f t="shared" si="26"/>
        <v>0</v>
      </c>
      <c r="DZ58" s="20">
        <f t="shared" si="27"/>
        <v>0</v>
      </c>
      <c r="EA58" s="20">
        <f t="shared" si="28"/>
        <v>0</v>
      </c>
      <c r="EB58" s="20">
        <f t="shared" si="29"/>
        <v>111843.51999999999</v>
      </c>
      <c r="EC58" s="20">
        <f t="shared" si="14"/>
        <v>371125.0008482486</v>
      </c>
      <c r="ED58" s="20">
        <f t="shared" si="15"/>
        <v>53700</v>
      </c>
      <c r="EE58" s="20">
        <f t="shared" si="15"/>
        <v>28394.999151751399</v>
      </c>
      <c r="EF58" s="20">
        <f t="shared" si="16"/>
        <v>453220</v>
      </c>
      <c r="EG58" s="23">
        <f t="shared" si="17"/>
        <v>0.81886280580788273</v>
      </c>
      <c r="EH58" s="20">
        <f t="shared" si="18"/>
        <v>7132154.9801319707</v>
      </c>
    </row>
    <row r="59" spans="1:138" x14ac:dyDescent="0.25">
      <c r="A59" s="18">
        <v>266</v>
      </c>
      <c r="B59" t="s">
        <v>199</v>
      </c>
      <c r="C59" t="s">
        <v>150</v>
      </c>
      <c r="D59">
        <v>8</v>
      </c>
      <c r="E59">
        <v>518</v>
      </c>
      <c r="F59" s="19">
        <f t="shared" si="11"/>
        <v>0.48841698841698844</v>
      </c>
      <c r="G59">
        <v>253</v>
      </c>
      <c r="H59" s="20">
        <v>191050.75104188372</v>
      </c>
      <c r="I59" s="20">
        <v>110891.27068881014</v>
      </c>
      <c r="J59" s="20">
        <v>214080.64890331691</v>
      </c>
      <c r="K59" s="20">
        <v>110891.27068881014</v>
      </c>
      <c r="L59" s="20">
        <v>0</v>
      </c>
      <c r="M59" s="20">
        <v>89505.059196611037</v>
      </c>
      <c r="N59" s="20">
        <v>59866.796146808359</v>
      </c>
      <c r="O59" s="20">
        <v>58280.552041789575</v>
      </c>
      <c r="P59" s="20">
        <v>0</v>
      </c>
      <c r="Q59" s="20">
        <v>0</v>
      </c>
      <c r="R59" s="20"/>
      <c r="S59" s="20">
        <v>77625.750694703253</v>
      </c>
      <c r="T59" s="20">
        <v>60676.224767295193</v>
      </c>
      <c r="U59" s="20">
        <v>149148.95212478214</v>
      </c>
      <c r="V59" s="20">
        <v>110891.27068881014</v>
      </c>
      <c r="W59" s="20">
        <v>110891.27068881014</v>
      </c>
      <c r="X59" s="20">
        <v>110891.27068881014</v>
      </c>
      <c r="Y59" s="20">
        <v>110891.27068881014</v>
      </c>
      <c r="Z59" s="20">
        <v>0</v>
      </c>
      <c r="AA59" s="20"/>
      <c r="AB59" s="20">
        <v>332673.8120664304</v>
      </c>
      <c r="AC59" s="20">
        <v>100233.47308369415</v>
      </c>
      <c r="AD59" s="20">
        <v>0</v>
      </c>
      <c r="AE59" s="20">
        <v>0</v>
      </c>
      <c r="AF59" s="20">
        <v>332673.8120664304</v>
      </c>
      <c r="AG59" s="20">
        <v>100233.47308369415</v>
      </c>
      <c r="AH59" s="20">
        <v>332673.8120664304</v>
      </c>
      <c r="AI59" s="20">
        <v>100233.47308369415</v>
      </c>
      <c r="AJ59" s="20">
        <v>332673.8120664304</v>
      </c>
      <c r="AK59" s="20">
        <v>221782.54137762028</v>
      </c>
      <c r="AL59" s="20">
        <v>332673.8120664304</v>
      </c>
      <c r="AM59" s="20">
        <v>332673.8120664304</v>
      </c>
      <c r="AN59" s="20">
        <v>221782.54137762028</v>
      </c>
      <c r="AO59" s="20">
        <v>277228.17672202532</v>
      </c>
      <c r="AP59" s="20">
        <v>188515.16017097724</v>
      </c>
      <c r="AQ59" s="20">
        <v>155247.7789643342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/>
      <c r="AX59" s="20">
        <v>0</v>
      </c>
      <c r="AY59" s="20">
        <v>110891.27068881014</v>
      </c>
      <c r="AZ59" s="20">
        <v>221782.54137762028</v>
      </c>
      <c r="BA59" s="20">
        <v>776238.89482167095</v>
      </c>
      <c r="BB59" s="20">
        <v>33411.157694564718</v>
      </c>
      <c r="BC59" s="20">
        <v>0</v>
      </c>
      <c r="BD59" s="20">
        <v>0</v>
      </c>
      <c r="BE59" s="20">
        <v>110891.27068881014</v>
      </c>
      <c r="BF59" s="20">
        <v>0</v>
      </c>
      <c r="BG59" s="20">
        <v>0</v>
      </c>
      <c r="BH59" s="21">
        <f>57280-21480</f>
        <v>35800</v>
      </c>
      <c r="BI59" s="21">
        <f>57280-21480</f>
        <v>35800</v>
      </c>
      <c r="BJ59" s="20">
        <v>10740</v>
      </c>
      <c r="BK59" s="20">
        <v>0</v>
      </c>
      <c r="BL59" s="20"/>
      <c r="BM59" s="20">
        <v>42960</v>
      </c>
      <c r="BN59" s="20">
        <v>209678.03</v>
      </c>
      <c r="BO59" s="20">
        <v>3468.89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221782.54137762028</v>
      </c>
      <c r="CL59" s="20"/>
      <c r="CM59" s="20">
        <v>23000</v>
      </c>
      <c r="CN59" s="20">
        <v>5000</v>
      </c>
      <c r="CO59" s="20">
        <v>167765.28</v>
      </c>
      <c r="CP59" s="20">
        <v>100000</v>
      </c>
      <c r="CQ59" s="20">
        <v>0</v>
      </c>
      <c r="CR59" s="20">
        <v>0</v>
      </c>
      <c r="CS59" s="20">
        <v>5060</v>
      </c>
      <c r="CT59" s="20">
        <v>180360</v>
      </c>
      <c r="CU59" s="20">
        <v>29217.186206896549</v>
      </c>
      <c r="CV59" s="20">
        <v>0</v>
      </c>
      <c r="CW59" s="20"/>
      <c r="CX59" s="20">
        <v>0</v>
      </c>
      <c r="CY59" s="20">
        <v>0</v>
      </c>
      <c r="CZ59" s="20">
        <v>0</v>
      </c>
      <c r="DA59" s="20">
        <v>0</v>
      </c>
      <c r="DB59" s="20">
        <v>51800</v>
      </c>
      <c r="DC59" s="20">
        <v>107584.05636797837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/>
      <c r="DJ59" s="20">
        <v>44625.001480802894</v>
      </c>
      <c r="DK59" s="22">
        <v>0</v>
      </c>
      <c r="DL59" s="20">
        <v>0</v>
      </c>
      <c r="DM59" s="20">
        <v>50000</v>
      </c>
      <c r="DN59" s="20">
        <v>7504737.97001707</v>
      </c>
      <c r="DO59" s="20">
        <f t="shared" si="0"/>
        <v>5177814.7056780066</v>
      </c>
      <c r="DP59" s="21">
        <v>585024</v>
      </c>
      <c r="DQ59" s="20">
        <f t="shared" si="20"/>
        <v>82340</v>
      </c>
      <c r="DR59" s="20">
        <f t="shared" si="21"/>
        <v>230045.00148080289</v>
      </c>
      <c r="DS59" s="20">
        <f t="shared" si="12"/>
        <v>272638.99851919711</v>
      </c>
      <c r="DT59" s="23">
        <f t="shared" si="13"/>
        <v>0.46603045092029916</v>
      </c>
      <c r="DU59" s="20">
        <f t="shared" si="22"/>
        <v>5242626.6347455904</v>
      </c>
      <c r="DV59" s="20">
        <f t="shared" si="23"/>
        <v>1142323.864582666</v>
      </c>
      <c r="DW59" s="20">
        <f t="shared" si="24"/>
        <v>110891.27068881014</v>
      </c>
      <c r="DX59" s="20">
        <f t="shared" si="25"/>
        <v>256106.92</v>
      </c>
      <c r="DY59" s="20">
        <f t="shared" si="26"/>
        <v>0</v>
      </c>
      <c r="DZ59" s="20">
        <f t="shared" si="27"/>
        <v>0</v>
      </c>
      <c r="EA59" s="20">
        <f t="shared" si="28"/>
        <v>0</v>
      </c>
      <c r="EB59" s="20">
        <f t="shared" si="29"/>
        <v>167765.28</v>
      </c>
      <c r="EC59" s="20">
        <f t="shared" si="14"/>
        <v>272638.99851919711</v>
      </c>
      <c r="ED59" s="20">
        <f t="shared" si="15"/>
        <v>82340</v>
      </c>
      <c r="EE59" s="20">
        <f t="shared" si="15"/>
        <v>230045.00148080289</v>
      </c>
      <c r="EF59" s="20">
        <f t="shared" si="16"/>
        <v>585024</v>
      </c>
      <c r="EG59" s="23">
        <f t="shared" si="17"/>
        <v>0.46603045092029916</v>
      </c>
      <c r="EH59" s="20">
        <f t="shared" si="18"/>
        <v>7504737.9700170672</v>
      </c>
    </row>
    <row r="60" spans="1:138" x14ac:dyDescent="0.25">
      <c r="A60" s="18">
        <v>271</v>
      </c>
      <c r="B60" t="s">
        <v>200</v>
      </c>
      <c r="C60" t="s">
        <v>135</v>
      </c>
      <c r="D60">
        <v>6</v>
      </c>
      <c r="E60">
        <v>486</v>
      </c>
      <c r="F60" s="19">
        <f t="shared" si="11"/>
        <v>0.27983539094650206</v>
      </c>
      <c r="G60">
        <v>136</v>
      </c>
      <c r="H60" s="20">
        <v>191050.75104188372</v>
      </c>
      <c r="I60" s="20">
        <v>110891.27068881014</v>
      </c>
      <c r="J60" s="20">
        <v>183497.69905998593</v>
      </c>
      <c r="K60" s="20">
        <v>0</v>
      </c>
      <c r="L60" s="20">
        <v>0</v>
      </c>
      <c r="M60" s="20">
        <v>89505.059196611037</v>
      </c>
      <c r="N60" s="20">
        <v>59866.796146808359</v>
      </c>
      <c r="O60" s="20">
        <v>53797.432653959608</v>
      </c>
      <c r="P60" s="20">
        <v>0</v>
      </c>
      <c r="Q60" s="20">
        <v>0</v>
      </c>
      <c r="R60" s="20"/>
      <c r="S60" s="20">
        <v>77625.750694703253</v>
      </c>
      <c r="T60" s="20">
        <v>60676.224767295193</v>
      </c>
      <c r="U60" s="20">
        <v>99432.634749854755</v>
      </c>
      <c r="V60" s="20">
        <v>110891.27068881014</v>
      </c>
      <c r="W60" s="20">
        <v>110891.27068881014</v>
      </c>
      <c r="X60" s="20">
        <v>110891.27068881014</v>
      </c>
      <c r="Y60" s="20">
        <v>110891.27068881014</v>
      </c>
      <c r="Z60" s="20">
        <v>166336.9060332152</v>
      </c>
      <c r="AA60" s="20"/>
      <c r="AB60" s="20">
        <v>332673.8120664304</v>
      </c>
      <c r="AC60" s="20">
        <v>100233.47308369415</v>
      </c>
      <c r="AD60" s="20">
        <v>0</v>
      </c>
      <c r="AE60" s="20">
        <v>0</v>
      </c>
      <c r="AF60" s="20">
        <v>332673.8120664304</v>
      </c>
      <c r="AG60" s="20">
        <v>100233.47308369415</v>
      </c>
      <c r="AH60" s="20">
        <v>332673.8120664304</v>
      </c>
      <c r="AI60" s="20">
        <v>100233.47308369415</v>
      </c>
      <c r="AJ60" s="20">
        <v>332673.8120664304</v>
      </c>
      <c r="AK60" s="20">
        <v>332673.8120664304</v>
      </c>
      <c r="AL60" s="20">
        <v>332673.8120664304</v>
      </c>
      <c r="AM60" s="20">
        <v>332673.8120664304</v>
      </c>
      <c r="AN60" s="20">
        <v>221782.54137762028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/>
      <c r="AX60" s="20">
        <v>0</v>
      </c>
      <c r="AY60" s="20">
        <v>110891.27068881014</v>
      </c>
      <c r="AZ60" s="20">
        <v>166336.9060332152</v>
      </c>
      <c r="BA60" s="20">
        <v>776238.89482167095</v>
      </c>
      <c r="BB60" s="20">
        <v>200466.94616738829</v>
      </c>
      <c r="BC60" s="20">
        <v>0</v>
      </c>
      <c r="BD60" s="20">
        <v>0</v>
      </c>
      <c r="BE60" s="20">
        <v>110891.27068881014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/>
      <c r="BM60" s="20">
        <v>0</v>
      </c>
      <c r="BN60" s="20">
        <v>0</v>
      </c>
      <c r="BO60" s="20">
        <v>0</v>
      </c>
      <c r="BP60" s="20">
        <v>11500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/>
      <c r="CM60" s="20">
        <v>0</v>
      </c>
      <c r="CN60" s="20">
        <v>0</v>
      </c>
      <c r="CO60" s="20">
        <v>55921.759999999995</v>
      </c>
      <c r="CP60" s="20">
        <v>0</v>
      </c>
      <c r="CQ60" s="20">
        <v>0</v>
      </c>
      <c r="CR60" s="20">
        <v>0</v>
      </c>
      <c r="CS60" s="20">
        <v>2720</v>
      </c>
      <c r="CT60" s="20">
        <v>0</v>
      </c>
      <c r="CU60" s="20">
        <v>25922.505070993917</v>
      </c>
      <c r="CV60" s="20">
        <v>0</v>
      </c>
      <c r="CW60" s="20"/>
      <c r="CX60" s="20">
        <v>0</v>
      </c>
      <c r="CY60" s="20">
        <v>0</v>
      </c>
      <c r="CZ60" s="20">
        <v>0</v>
      </c>
      <c r="DA60" s="20">
        <v>0</v>
      </c>
      <c r="DB60" s="20">
        <v>48600</v>
      </c>
      <c r="DC60" s="20">
        <v>92611.555714639835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/>
      <c r="DJ60" s="20">
        <v>4724.9999687075615</v>
      </c>
      <c r="DK60" s="22">
        <v>0</v>
      </c>
      <c r="DL60" s="20">
        <v>106014.34039967961</v>
      </c>
      <c r="DM60" s="20">
        <v>140000</v>
      </c>
      <c r="DN60" s="20">
        <v>6240285.7024360001</v>
      </c>
      <c r="DO60" s="20">
        <f t="shared" si="0"/>
        <v>4316844.7034558626</v>
      </c>
      <c r="DP60" s="21">
        <v>314479</v>
      </c>
      <c r="DQ60" s="20">
        <f t="shared" si="20"/>
        <v>0</v>
      </c>
      <c r="DR60" s="20">
        <f t="shared" si="21"/>
        <v>7444.9999687075615</v>
      </c>
      <c r="DS60" s="20">
        <f t="shared" si="12"/>
        <v>307034.00003129244</v>
      </c>
      <c r="DT60" s="23">
        <f t="shared" si="13"/>
        <v>0.97632592329310519</v>
      </c>
      <c r="DU60" s="20">
        <f t="shared" si="22"/>
        <v>4387545.3136364231</v>
      </c>
      <c r="DV60" s="20">
        <f t="shared" si="23"/>
        <v>1253934.0177110846</v>
      </c>
      <c r="DW60" s="20">
        <f t="shared" si="24"/>
        <v>110891.27068881014</v>
      </c>
      <c r="DX60" s="20">
        <f t="shared" si="25"/>
        <v>11500</v>
      </c>
      <c r="DY60" s="20">
        <f t="shared" si="26"/>
        <v>0</v>
      </c>
      <c r="DZ60" s="20">
        <f t="shared" si="27"/>
        <v>0</v>
      </c>
      <c r="EA60" s="20">
        <f t="shared" si="28"/>
        <v>106014.34039967961</v>
      </c>
      <c r="EB60" s="20">
        <f t="shared" si="29"/>
        <v>55921.759999999995</v>
      </c>
      <c r="EC60" s="20">
        <f t="shared" si="14"/>
        <v>307034.00003129244</v>
      </c>
      <c r="ED60" s="20">
        <f t="shared" si="15"/>
        <v>0</v>
      </c>
      <c r="EE60" s="20">
        <f t="shared" si="15"/>
        <v>7444.9999687075615</v>
      </c>
      <c r="EF60" s="20">
        <f t="shared" si="16"/>
        <v>314479</v>
      </c>
      <c r="EG60" s="23">
        <f t="shared" si="17"/>
        <v>0.97632592329310519</v>
      </c>
      <c r="EH60" s="20">
        <f t="shared" si="18"/>
        <v>6240285.7024359973</v>
      </c>
    </row>
    <row r="61" spans="1:138" x14ac:dyDescent="0.25">
      <c r="A61" s="18">
        <v>884</v>
      </c>
      <c r="B61" t="s">
        <v>201</v>
      </c>
      <c r="C61" t="s">
        <v>138</v>
      </c>
      <c r="D61">
        <v>5</v>
      </c>
      <c r="E61">
        <v>294</v>
      </c>
      <c r="F61" s="19">
        <f t="shared" si="11"/>
        <v>0</v>
      </c>
      <c r="G61">
        <v>0</v>
      </c>
      <c r="H61" s="20">
        <v>191050.75104188372</v>
      </c>
      <c r="I61" s="20">
        <v>110891.27068881014</v>
      </c>
      <c r="J61" s="20">
        <v>152914.74921665495</v>
      </c>
      <c r="K61" s="20">
        <v>0</v>
      </c>
      <c r="L61" s="20">
        <v>187138.29131332185</v>
      </c>
      <c r="M61" s="20">
        <v>44752.529598305518</v>
      </c>
      <c r="N61" s="20">
        <v>59866.796146808359</v>
      </c>
      <c r="O61" s="20">
        <v>0</v>
      </c>
      <c r="P61" s="20">
        <v>49534.351124581444</v>
      </c>
      <c r="Q61" s="20">
        <v>69924.031375330247</v>
      </c>
      <c r="R61" s="20"/>
      <c r="S61" s="20">
        <v>77625.750694703253</v>
      </c>
      <c r="T61" s="20">
        <v>60676.224767295193</v>
      </c>
      <c r="U61" s="20">
        <v>49716.317374927377</v>
      </c>
      <c r="V61" s="20">
        <v>55445.635344405069</v>
      </c>
      <c r="W61" s="20">
        <v>0</v>
      </c>
      <c r="X61" s="20">
        <v>0</v>
      </c>
      <c r="Y61" s="20">
        <v>0</v>
      </c>
      <c r="Z61" s="20">
        <v>0</v>
      </c>
      <c r="AA61" s="20"/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310495.55792866839</v>
      </c>
      <c r="AS61" s="20">
        <v>377030.32034195447</v>
      </c>
      <c r="AT61" s="20">
        <v>354852.06620419247</v>
      </c>
      <c r="AU61" s="20">
        <v>310495.55792866839</v>
      </c>
      <c r="AV61" s="20">
        <v>0</v>
      </c>
      <c r="AW61" s="20"/>
      <c r="AX61" s="20">
        <v>0</v>
      </c>
      <c r="AY61" s="20">
        <v>110891.27068881014</v>
      </c>
      <c r="AZ61" s="20">
        <v>221782.54137762028</v>
      </c>
      <c r="BA61" s="20">
        <v>887130.16551048111</v>
      </c>
      <c r="BB61" s="20">
        <v>0</v>
      </c>
      <c r="BC61" s="20">
        <v>0</v>
      </c>
      <c r="BD61" s="20">
        <v>0</v>
      </c>
      <c r="BE61" s="20">
        <v>40324.098432294595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/>
      <c r="BL61" s="20">
        <v>70000</v>
      </c>
      <c r="BM61" s="20">
        <v>0</v>
      </c>
      <c r="BN61" s="20">
        <v>85925.36</v>
      </c>
      <c r="BO61" s="20">
        <v>1387.1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/>
      <c r="CM61" s="20">
        <v>0</v>
      </c>
      <c r="CN61" s="20">
        <v>0</v>
      </c>
      <c r="CO61" s="20">
        <v>244045.91999999998</v>
      </c>
      <c r="CP61" s="20">
        <v>0</v>
      </c>
      <c r="CQ61" s="20">
        <v>0</v>
      </c>
      <c r="CR61" s="20">
        <v>0</v>
      </c>
      <c r="CS61" s="20">
        <v>0</v>
      </c>
      <c r="CT61" s="20">
        <v>0</v>
      </c>
      <c r="CU61" s="20">
        <v>37367.441599999998</v>
      </c>
      <c r="CV61" s="20"/>
      <c r="CW61" s="20">
        <v>114084.97559574516</v>
      </c>
      <c r="CX61" s="20">
        <v>150000</v>
      </c>
      <c r="CY61" s="20">
        <v>0</v>
      </c>
      <c r="CZ61" s="20">
        <v>0</v>
      </c>
      <c r="DA61" s="20">
        <v>0</v>
      </c>
      <c r="DB61" s="20">
        <v>29400</v>
      </c>
      <c r="DC61" s="20">
        <v>61769.634368396939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4950</v>
      </c>
      <c r="DJ61" s="20"/>
      <c r="DK61" s="22">
        <v>0</v>
      </c>
      <c r="DL61" s="20">
        <v>0</v>
      </c>
      <c r="DM61" s="20">
        <v>0</v>
      </c>
      <c r="DN61" s="20">
        <v>4521468.7086638594</v>
      </c>
      <c r="DO61" s="20">
        <f t="shared" si="0"/>
        <v>2402928.9842219818</v>
      </c>
      <c r="DP61" s="21">
        <v>0</v>
      </c>
      <c r="DQ61" s="20">
        <f t="shared" si="20"/>
        <v>0</v>
      </c>
      <c r="DR61" s="20">
        <f t="shared" si="21"/>
        <v>0</v>
      </c>
      <c r="DS61" s="20">
        <f t="shared" si="12"/>
        <v>0</v>
      </c>
      <c r="DT61" s="24" t="s">
        <v>142</v>
      </c>
      <c r="DU61" s="20">
        <f t="shared" si="22"/>
        <v>2929982.2526546526</v>
      </c>
      <c r="DV61" s="20">
        <f t="shared" si="23"/>
        <v>1219803.9775769114</v>
      </c>
      <c r="DW61" s="20">
        <f t="shared" si="24"/>
        <v>40324.098432294595</v>
      </c>
      <c r="DX61" s="20">
        <f t="shared" si="25"/>
        <v>87312.46</v>
      </c>
      <c r="DY61" s="20">
        <f t="shared" si="26"/>
        <v>0</v>
      </c>
      <c r="DZ61" s="20">
        <f t="shared" si="27"/>
        <v>0</v>
      </c>
      <c r="EA61" s="20">
        <f t="shared" si="28"/>
        <v>0</v>
      </c>
      <c r="EB61" s="20">
        <f t="shared" si="29"/>
        <v>244045.91999999998</v>
      </c>
      <c r="EC61" s="20">
        <f t="shared" si="14"/>
        <v>0</v>
      </c>
      <c r="ED61" s="20">
        <f t="shared" si="15"/>
        <v>0</v>
      </c>
      <c r="EE61" s="20">
        <f t="shared" si="15"/>
        <v>0</v>
      </c>
      <c r="EF61" s="20">
        <f t="shared" si="16"/>
        <v>0</v>
      </c>
      <c r="EG61" s="24" t="s">
        <v>142</v>
      </c>
      <c r="EH61" s="20">
        <f t="shared" si="18"/>
        <v>4521468.7086638585</v>
      </c>
    </row>
    <row r="62" spans="1:138" x14ac:dyDescent="0.25">
      <c r="A62" s="18">
        <v>420</v>
      </c>
      <c r="B62" t="s">
        <v>202</v>
      </c>
      <c r="C62" t="s">
        <v>152</v>
      </c>
      <c r="D62">
        <v>4</v>
      </c>
      <c r="E62">
        <v>766</v>
      </c>
      <c r="F62" s="19">
        <f t="shared" si="11"/>
        <v>0.45561357702349869</v>
      </c>
      <c r="G62">
        <v>349</v>
      </c>
      <c r="H62" s="20">
        <v>191050.75104188372</v>
      </c>
      <c r="I62" s="20">
        <v>110891.27068881014</v>
      </c>
      <c r="J62" s="20">
        <v>397578.34796330286</v>
      </c>
      <c r="K62" s="20">
        <v>210693.41430873924</v>
      </c>
      <c r="L62" s="20">
        <v>0</v>
      </c>
      <c r="M62" s="20">
        <v>89505.059196611037</v>
      </c>
      <c r="N62" s="20">
        <v>59866.796146808359</v>
      </c>
      <c r="O62" s="20">
        <v>85179.268368769379</v>
      </c>
      <c r="P62" s="20">
        <v>0</v>
      </c>
      <c r="Q62" s="20">
        <v>0</v>
      </c>
      <c r="R62" s="20"/>
      <c r="S62" s="20">
        <v>77625.750694703253</v>
      </c>
      <c r="T62" s="20">
        <v>60676.224767295193</v>
      </c>
      <c r="U62" s="20">
        <v>198865.26949970951</v>
      </c>
      <c r="V62" s="20">
        <v>110891.27068881014</v>
      </c>
      <c r="W62" s="20">
        <v>0</v>
      </c>
      <c r="X62" s="20">
        <v>0</v>
      </c>
      <c r="Y62" s="20">
        <v>0</v>
      </c>
      <c r="Z62" s="20">
        <v>0</v>
      </c>
      <c r="AA62" s="20"/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1341784.3753346025</v>
      </c>
      <c r="AP62" s="20">
        <v>1297427.8670590785</v>
      </c>
      <c r="AQ62" s="20">
        <v>1219803.9775769114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/>
      <c r="AX62" s="20">
        <v>0</v>
      </c>
      <c r="AY62" s="20">
        <v>110891.27068881014</v>
      </c>
      <c r="AZ62" s="20">
        <v>221782.54137762028</v>
      </c>
      <c r="BA62" s="20">
        <v>1441586.5189545318</v>
      </c>
      <c r="BB62" s="20">
        <v>66822.315389129435</v>
      </c>
      <c r="BC62" s="20">
        <v>0</v>
      </c>
      <c r="BD62" s="20">
        <v>0</v>
      </c>
      <c r="BE62" s="20">
        <v>1552477.7896433419</v>
      </c>
      <c r="BF62" s="20">
        <v>33411.157694564718</v>
      </c>
      <c r="BG62" s="20">
        <v>332673.8120664304</v>
      </c>
      <c r="BH62" s="20">
        <v>0</v>
      </c>
      <c r="BI62" s="20">
        <v>0</v>
      </c>
      <c r="BJ62" s="20">
        <v>0</v>
      </c>
      <c r="BK62" s="20"/>
      <c r="BL62" s="20"/>
      <c r="BM62" s="20">
        <v>0</v>
      </c>
      <c r="BN62" s="20">
        <v>238231.74</v>
      </c>
      <c r="BO62" s="20">
        <v>3941.28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332673.8120664304</v>
      </c>
      <c r="CL62" s="20"/>
      <c r="CM62" s="20">
        <v>23000</v>
      </c>
      <c r="CN62" s="20">
        <v>5000</v>
      </c>
      <c r="CO62" s="20">
        <v>355889.44</v>
      </c>
      <c r="CP62" s="20">
        <v>100000</v>
      </c>
      <c r="CQ62" s="20">
        <v>0</v>
      </c>
      <c r="CR62" s="20">
        <v>0</v>
      </c>
      <c r="CS62" s="20">
        <v>6980</v>
      </c>
      <c r="CT62" s="20">
        <v>39240</v>
      </c>
      <c r="CU62" s="20">
        <v>56092.877966101696</v>
      </c>
      <c r="CV62" s="20">
        <v>0</v>
      </c>
      <c r="CW62" s="20"/>
      <c r="CX62" s="20">
        <v>0</v>
      </c>
      <c r="CY62" s="20">
        <v>114084.97559574516</v>
      </c>
      <c r="CZ62" s="20">
        <v>0</v>
      </c>
      <c r="DA62" s="20">
        <v>0</v>
      </c>
      <c r="DB62" s="20">
        <v>76600</v>
      </c>
      <c r="DC62" s="20">
        <v>155902.72166559199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/>
      <c r="DJ62" s="20">
        <v>54600.000014528632</v>
      </c>
      <c r="DK62" s="22">
        <v>0</v>
      </c>
      <c r="DL62" s="20">
        <v>0</v>
      </c>
      <c r="DM62" s="20">
        <v>0</v>
      </c>
      <c r="DN62" s="20">
        <v>10773721.896458862</v>
      </c>
      <c r="DO62" s="20">
        <f t="shared" si="0"/>
        <v>5863941.8100724509</v>
      </c>
      <c r="DP62" s="21">
        <v>807009</v>
      </c>
      <c r="DQ62" s="20">
        <f t="shared" si="20"/>
        <v>0</v>
      </c>
      <c r="DR62" s="20">
        <f t="shared" si="21"/>
        <v>100820.00001452863</v>
      </c>
      <c r="DS62" s="20">
        <f t="shared" si="12"/>
        <v>706188.99998547137</v>
      </c>
      <c r="DT62" s="23">
        <f t="shared" si="13"/>
        <v>0.87506954691393946</v>
      </c>
      <c r="DU62" s="20">
        <f t="shared" si="22"/>
        <v>5609005.0306444326</v>
      </c>
      <c r="DV62" s="20">
        <f t="shared" si="23"/>
        <v>1841082.6464100915</v>
      </c>
      <c r="DW62" s="20">
        <f t="shared" si="24"/>
        <v>1918562.759404337</v>
      </c>
      <c r="DX62" s="20">
        <f t="shared" si="25"/>
        <v>242173.02</v>
      </c>
      <c r="DY62" s="20">
        <f t="shared" si="26"/>
        <v>0</v>
      </c>
      <c r="DZ62" s="20">
        <f t="shared" si="27"/>
        <v>0</v>
      </c>
      <c r="EA62" s="20">
        <f t="shared" si="28"/>
        <v>0</v>
      </c>
      <c r="EB62" s="20">
        <f t="shared" si="29"/>
        <v>355889.44</v>
      </c>
      <c r="EC62" s="20">
        <f t="shared" si="14"/>
        <v>706188.99998547137</v>
      </c>
      <c r="ED62" s="20">
        <f t="shared" si="15"/>
        <v>0</v>
      </c>
      <c r="EE62" s="20">
        <f t="shared" si="15"/>
        <v>100820.00001452863</v>
      </c>
      <c r="EF62" s="20">
        <f t="shared" si="16"/>
        <v>807009</v>
      </c>
      <c r="EG62" s="23">
        <f t="shared" si="17"/>
        <v>0.87506954691393946</v>
      </c>
      <c r="EH62" s="20">
        <f t="shared" si="18"/>
        <v>10773721.89645886</v>
      </c>
    </row>
    <row r="63" spans="1:138" x14ac:dyDescent="0.25">
      <c r="A63" s="18">
        <v>308</v>
      </c>
      <c r="B63" t="s">
        <v>203</v>
      </c>
      <c r="C63" t="s">
        <v>135</v>
      </c>
      <c r="D63">
        <v>8</v>
      </c>
      <c r="E63">
        <v>242</v>
      </c>
      <c r="F63" s="19">
        <f t="shared" si="11"/>
        <v>0.8223140495867769</v>
      </c>
      <c r="G63">
        <v>199</v>
      </c>
      <c r="H63" s="20">
        <v>191050.75104188372</v>
      </c>
      <c r="I63" s="20">
        <v>110891.27068881014</v>
      </c>
      <c r="J63" s="20">
        <v>0</v>
      </c>
      <c r="K63" s="20">
        <v>0</v>
      </c>
      <c r="L63" s="20">
        <v>0</v>
      </c>
      <c r="M63" s="20">
        <v>44752.529598305518</v>
      </c>
      <c r="N63" s="20">
        <v>59866.796146808359</v>
      </c>
      <c r="O63" s="20">
        <v>0</v>
      </c>
      <c r="P63" s="20">
        <v>0</v>
      </c>
      <c r="Q63" s="20">
        <v>0</v>
      </c>
      <c r="R63" s="20"/>
      <c r="S63" s="20">
        <v>77625.750694703253</v>
      </c>
      <c r="T63" s="20">
        <v>60676.224767295193</v>
      </c>
      <c r="U63" s="20">
        <v>49716.317374927377</v>
      </c>
      <c r="V63" s="20">
        <v>55445.635344405069</v>
      </c>
      <c r="W63" s="20">
        <v>110891.27068881014</v>
      </c>
      <c r="X63" s="20">
        <v>110891.27068881014</v>
      </c>
      <c r="Y63" s="20">
        <v>110891.27068881014</v>
      </c>
      <c r="Z63" s="20">
        <v>0</v>
      </c>
      <c r="AA63" s="20"/>
      <c r="AB63" s="20">
        <v>221782.54137762028</v>
      </c>
      <c r="AC63" s="20">
        <v>66822.315389129435</v>
      </c>
      <c r="AD63" s="20">
        <v>0</v>
      </c>
      <c r="AE63" s="20">
        <v>0</v>
      </c>
      <c r="AF63" s="20">
        <v>221782.54137762028</v>
      </c>
      <c r="AG63" s="20">
        <v>66822.315389129435</v>
      </c>
      <c r="AH63" s="20">
        <v>221782.54137762028</v>
      </c>
      <c r="AI63" s="20">
        <v>66822.315389129435</v>
      </c>
      <c r="AJ63" s="20">
        <v>110891.27068881014</v>
      </c>
      <c r="AK63" s="20">
        <v>221782.54137762028</v>
      </c>
      <c r="AL63" s="20">
        <v>110891.27068881014</v>
      </c>
      <c r="AM63" s="20">
        <v>221782.54137762028</v>
      </c>
      <c r="AN63" s="20">
        <v>221782.54137762028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/>
      <c r="AX63" s="20">
        <v>0</v>
      </c>
      <c r="AY63" s="20">
        <v>110891.27068881014</v>
      </c>
      <c r="AZ63" s="20">
        <v>110891.27068881014</v>
      </c>
      <c r="BA63" s="20">
        <v>554456.35344405065</v>
      </c>
      <c r="BB63" s="20">
        <v>66822.315389129435</v>
      </c>
      <c r="BC63" s="20">
        <v>96655.873025941983</v>
      </c>
      <c r="BD63" s="20">
        <v>0</v>
      </c>
      <c r="BE63" s="20">
        <v>0</v>
      </c>
      <c r="BF63" s="20">
        <v>0</v>
      </c>
      <c r="BG63" s="20">
        <v>0</v>
      </c>
      <c r="BH63" s="21">
        <f>35800-14320</f>
        <v>21480</v>
      </c>
      <c r="BI63" s="21">
        <f t="shared" ref="BI63" si="31">35800-14320</f>
        <v>21480</v>
      </c>
      <c r="BJ63" s="20">
        <v>10740</v>
      </c>
      <c r="BK63" s="20">
        <v>0</v>
      </c>
      <c r="BL63" s="20"/>
      <c r="BM63" s="20">
        <v>28640</v>
      </c>
      <c r="BN63" s="20">
        <v>99298.74</v>
      </c>
      <c r="BO63" s="20">
        <v>1642.79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/>
      <c r="CM63" s="20">
        <v>0</v>
      </c>
      <c r="CN63" s="20">
        <v>0</v>
      </c>
      <c r="CO63" s="20">
        <v>55921.759999999995</v>
      </c>
      <c r="CP63" s="20">
        <v>0</v>
      </c>
      <c r="CQ63" s="20">
        <v>0</v>
      </c>
      <c r="CR63" s="20">
        <v>0</v>
      </c>
      <c r="CS63" s="20">
        <v>7960</v>
      </c>
      <c r="CT63" s="20">
        <v>0</v>
      </c>
      <c r="CU63" s="20">
        <v>14307.01923076923</v>
      </c>
      <c r="CV63" s="20">
        <v>0</v>
      </c>
      <c r="CW63" s="20"/>
      <c r="CX63" s="20">
        <v>0</v>
      </c>
      <c r="CY63" s="20">
        <v>0</v>
      </c>
      <c r="CZ63" s="20">
        <v>0</v>
      </c>
      <c r="DA63" s="20">
        <v>0</v>
      </c>
      <c r="DB63" s="20">
        <v>24200</v>
      </c>
      <c r="DC63" s="20">
        <v>59173.310599013777</v>
      </c>
      <c r="DD63" s="20">
        <v>0</v>
      </c>
      <c r="DE63" s="20">
        <v>0</v>
      </c>
      <c r="DF63" s="20">
        <v>13859</v>
      </c>
      <c r="DG63" s="20">
        <v>0</v>
      </c>
      <c r="DH63" s="20">
        <v>0</v>
      </c>
      <c r="DI63" s="20"/>
      <c r="DJ63" s="20">
        <v>19174.99998062849</v>
      </c>
      <c r="DK63" s="22">
        <v>0</v>
      </c>
      <c r="DL63" s="20">
        <v>0</v>
      </c>
      <c r="DM63" s="20">
        <v>0</v>
      </c>
      <c r="DN63" s="20">
        <v>4053238.5265814532</v>
      </c>
      <c r="DO63" s="20">
        <f t="shared" si="0"/>
        <v>2645305.8605271559</v>
      </c>
      <c r="DP63" s="21">
        <v>460157</v>
      </c>
      <c r="DQ63" s="20">
        <f t="shared" si="20"/>
        <v>53700</v>
      </c>
      <c r="DR63" s="20">
        <f t="shared" si="21"/>
        <v>27134.99998062849</v>
      </c>
      <c r="DS63" s="20">
        <f t="shared" si="12"/>
        <v>379322.00001937151</v>
      </c>
      <c r="DT63" s="23">
        <f t="shared" si="13"/>
        <v>0.82433169552863805</v>
      </c>
      <c r="DU63" s="20">
        <f t="shared" si="22"/>
        <v>2467861.1533447099</v>
      </c>
      <c r="DV63" s="20">
        <f t="shared" si="23"/>
        <v>939717.08323674242</v>
      </c>
      <c r="DW63" s="20">
        <f t="shared" si="24"/>
        <v>0</v>
      </c>
      <c r="DX63" s="20">
        <f t="shared" si="25"/>
        <v>129581.53</v>
      </c>
      <c r="DY63" s="20">
        <f t="shared" si="26"/>
        <v>0</v>
      </c>
      <c r="DZ63" s="20">
        <f t="shared" si="27"/>
        <v>0</v>
      </c>
      <c r="EA63" s="20">
        <f t="shared" si="28"/>
        <v>0</v>
      </c>
      <c r="EB63" s="20">
        <f t="shared" si="29"/>
        <v>55921.759999999995</v>
      </c>
      <c r="EC63" s="20">
        <f t="shared" si="14"/>
        <v>379322.00001937151</v>
      </c>
      <c r="ED63" s="20">
        <f t="shared" si="15"/>
        <v>53700</v>
      </c>
      <c r="EE63" s="20">
        <f t="shared" si="15"/>
        <v>27134.99998062849</v>
      </c>
      <c r="EF63" s="20">
        <f t="shared" si="16"/>
        <v>460157</v>
      </c>
      <c r="EG63" s="23">
        <f t="shared" si="17"/>
        <v>0.82433169552863805</v>
      </c>
      <c r="EH63" s="20">
        <f t="shared" si="18"/>
        <v>4053238.5265814518</v>
      </c>
    </row>
    <row r="64" spans="1:138" x14ac:dyDescent="0.25">
      <c r="A64" s="18">
        <v>273</v>
      </c>
      <c r="B64" t="s">
        <v>204</v>
      </c>
      <c r="C64" t="s">
        <v>135</v>
      </c>
      <c r="D64">
        <v>3</v>
      </c>
      <c r="E64">
        <v>456</v>
      </c>
      <c r="F64" s="19">
        <f t="shared" si="11"/>
        <v>3.5087719298245612E-2</v>
      </c>
      <c r="G64">
        <v>16</v>
      </c>
      <c r="H64" s="20">
        <v>191050.75104188372</v>
      </c>
      <c r="I64" s="20">
        <v>110891.27068881014</v>
      </c>
      <c r="J64" s="20">
        <v>168206.22413832045</v>
      </c>
      <c r="K64" s="20">
        <v>0</v>
      </c>
      <c r="L64" s="20">
        <v>0</v>
      </c>
      <c r="M64" s="20">
        <v>89505.059196611037</v>
      </c>
      <c r="N64" s="20">
        <v>59866.796146808359</v>
      </c>
      <c r="O64" s="20">
        <v>49314.313266129648</v>
      </c>
      <c r="P64" s="20">
        <v>0</v>
      </c>
      <c r="Q64" s="20">
        <v>0</v>
      </c>
      <c r="R64" s="20"/>
      <c r="S64" s="20">
        <v>77625.750694703253</v>
      </c>
      <c r="T64" s="20">
        <v>60676.224767295193</v>
      </c>
      <c r="U64" s="20">
        <v>99432.634749854755</v>
      </c>
      <c r="V64" s="20">
        <v>110891.27068881014</v>
      </c>
      <c r="W64" s="20">
        <v>110891.27068881014</v>
      </c>
      <c r="X64" s="20">
        <v>110891.27068881014</v>
      </c>
      <c r="Y64" s="20">
        <v>110891.27068881014</v>
      </c>
      <c r="Z64" s="20">
        <v>166336.9060332152</v>
      </c>
      <c r="AA64" s="20"/>
      <c r="AB64" s="20">
        <v>0</v>
      </c>
      <c r="AC64" s="20">
        <v>0</v>
      </c>
      <c r="AD64" s="20">
        <v>0</v>
      </c>
      <c r="AE64" s="20">
        <v>0</v>
      </c>
      <c r="AF64" s="20">
        <v>221782.54137762028</v>
      </c>
      <c r="AG64" s="20">
        <v>66822.315389129435</v>
      </c>
      <c r="AH64" s="20">
        <v>332673.8120664304</v>
      </c>
      <c r="AI64" s="20">
        <v>100233.47308369415</v>
      </c>
      <c r="AJ64" s="20">
        <v>443565.08275524055</v>
      </c>
      <c r="AK64" s="20">
        <v>332673.8120664304</v>
      </c>
      <c r="AL64" s="20">
        <v>332673.8120664304</v>
      </c>
      <c r="AM64" s="20">
        <v>332673.8120664304</v>
      </c>
      <c r="AN64" s="20">
        <v>332673.8120664304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/>
      <c r="AX64" s="20">
        <v>0</v>
      </c>
      <c r="AY64" s="20">
        <v>55445.635344405069</v>
      </c>
      <c r="AZ64" s="20">
        <v>110891.27068881014</v>
      </c>
      <c r="BA64" s="20">
        <v>332673.8120664304</v>
      </c>
      <c r="BB64" s="20">
        <v>0</v>
      </c>
      <c r="BC64" s="20">
        <v>0</v>
      </c>
      <c r="BD64" s="20">
        <v>0</v>
      </c>
      <c r="BE64" s="20">
        <v>277228.17672202532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/>
      <c r="BM64" s="20">
        <v>0</v>
      </c>
      <c r="BN64" s="20">
        <v>0</v>
      </c>
      <c r="BO64" s="20">
        <v>0</v>
      </c>
      <c r="BP64" s="20">
        <v>10650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/>
      <c r="CM64" s="20">
        <v>0</v>
      </c>
      <c r="CN64" s="20">
        <v>0</v>
      </c>
      <c r="CO64" s="20">
        <v>55921.759999999995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22546.795327102802</v>
      </c>
      <c r="CV64" s="20">
        <v>0</v>
      </c>
      <c r="CW64" s="20"/>
      <c r="CX64" s="20">
        <v>0</v>
      </c>
      <c r="CY64" s="20">
        <v>0</v>
      </c>
      <c r="CZ64" s="20">
        <v>0</v>
      </c>
      <c r="DA64" s="20">
        <v>0</v>
      </c>
      <c r="DB64" s="20">
        <v>45600</v>
      </c>
      <c r="DC64" s="20">
        <v>77094.566337937911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/>
      <c r="DJ64" s="20">
        <v>1225.0000355299562</v>
      </c>
      <c r="DK64" s="22">
        <v>0</v>
      </c>
      <c r="DL64" s="20">
        <v>0</v>
      </c>
      <c r="DM64" s="20">
        <v>0</v>
      </c>
      <c r="DN64" s="20">
        <v>5001520.5029389495</v>
      </c>
      <c r="DO64" s="20">
        <f t="shared" si="0"/>
        <v>3919750.2378698955</v>
      </c>
      <c r="DP64" s="21">
        <v>36998</v>
      </c>
      <c r="DQ64" s="20">
        <f t="shared" si="20"/>
        <v>0</v>
      </c>
      <c r="DR64" s="20">
        <f t="shared" si="21"/>
        <v>1225.0000355299562</v>
      </c>
      <c r="DS64" s="20">
        <f t="shared" si="12"/>
        <v>35772.999964470044</v>
      </c>
      <c r="DT64" s="23">
        <f t="shared" si="13"/>
        <v>0.96689010120736374</v>
      </c>
      <c r="DU64" s="20">
        <f t="shared" si="22"/>
        <v>4121711.8481172784</v>
      </c>
      <c r="DV64" s="20">
        <f t="shared" si="23"/>
        <v>499010.71809964557</v>
      </c>
      <c r="DW64" s="20">
        <f t="shared" si="24"/>
        <v>277228.17672202532</v>
      </c>
      <c r="DX64" s="20">
        <f t="shared" si="25"/>
        <v>10650</v>
      </c>
      <c r="DY64" s="20">
        <f t="shared" si="26"/>
        <v>0</v>
      </c>
      <c r="DZ64" s="20">
        <f t="shared" si="27"/>
        <v>0</v>
      </c>
      <c r="EA64" s="20">
        <f t="shared" si="28"/>
        <v>0</v>
      </c>
      <c r="EB64" s="20">
        <f t="shared" si="29"/>
        <v>55921.759999999995</v>
      </c>
      <c r="EC64" s="20">
        <f t="shared" si="14"/>
        <v>35772.999964470044</v>
      </c>
      <c r="ED64" s="20">
        <f t="shared" si="15"/>
        <v>0</v>
      </c>
      <c r="EE64" s="20">
        <f t="shared" si="15"/>
        <v>1225.0000355299562</v>
      </c>
      <c r="EF64" s="20">
        <f t="shared" si="16"/>
        <v>36998</v>
      </c>
      <c r="EG64" s="23">
        <f t="shared" si="17"/>
        <v>0.96689010120736374</v>
      </c>
      <c r="EH64" s="20">
        <f t="shared" si="18"/>
        <v>5001520.5029389495</v>
      </c>
    </row>
    <row r="65" spans="1:138" x14ac:dyDescent="0.25">
      <c r="A65" s="18">
        <v>284</v>
      </c>
      <c r="B65" t="s">
        <v>205</v>
      </c>
      <c r="C65" t="s">
        <v>135</v>
      </c>
      <c r="D65">
        <v>1</v>
      </c>
      <c r="E65">
        <v>468</v>
      </c>
      <c r="F65" s="19">
        <f t="shared" si="11"/>
        <v>0.30982905982905984</v>
      </c>
      <c r="G65">
        <v>145</v>
      </c>
      <c r="H65" s="20">
        <v>191050.75104188372</v>
      </c>
      <c r="I65" s="20">
        <v>110891.27068881014</v>
      </c>
      <c r="J65" s="20">
        <v>183497.69905998593</v>
      </c>
      <c r="K65" s="20">
        <v>0</v>
      </c>
      <c r="L65" s="20">
        <v>0</v>
      </c>
      <c r="M65" s="20">
        <v>89505.059196611037</v>
      </c>
      <c r="N65" s="20">
        <v>59866.796146808359</v>
      </c>
      <c r="O65" s="20">
        <v>53797.432653959608</v>
      </c>
      <c r="P65" s="20">
        <v>0</v>
      </c>
      <c r="Q65" s="20">
        <v>0</v>
      </c>
      <c r="R65" s="20"/>
      <c r="S65" s="20">
        <v>77625.750694703253</v>
      </c>
      <c r="T65" s="20">
        <v>60676.224767295193</v>
      </c>
      <c r="U65" s="20">
        <v>198865.26949970951</v>
      </c>
      <c r="V65" s="20">
        <v>110891.27068881014</v>
      </c>
      <c r="W65" s="20">
        <v>110891.27068881014</v>
      </c>
      <c r="X65" s="20">
        <v>110891.27068881014</v>
      </c>
      <c r="Y65" s="20">
        <v>110891.27068881014</v>
      </c>
      <c r="Z65" s="20">
        <v>166336.9060332152</v>
      </c>
      <c r="AA65" s="20"/>
      <c r="AB65" s="20">
        <v>221782.54137762028</v>
      </c>
      <c r="AC65" s="20">
        <v>66822.315389129435</v>
      </c>
      <c r="AD65" s="20">
        <v>221782.54137762028</v>
      </c>
      <c r="AE65" s="20">
        <v>66822.315389129435</v>
      </c>
      <c r="AF65" s="20">
        <v>221782.54137762028</v>
      </c>
      <c r="AG65" s="20">
        <v>66822.315389129435</v>
      </c>
      <c r="AH65" s="20">
        <v>332673.8120664304</v>
      </c>
      <c r="AI65" s="20">
        <v>100233.47308369415</v>
      </c>
      <c r="AJ65" s="20">
        <v>332673.8120664304</v>
      </c>
      <c r="AK65" s="20">
        <v>332673.8120664304</v>
      </c>
      <c r="AL65" s="20">
        <v>332673.8120664304</v>
      </c>
      <c r="AM65" s="20">
        <v>332673.8120664304</v>
      </c>
      <c r="AN65" s="20">
        <v>332673.8120664304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/>
      <c r="AX65" s="20">
        <v>0</v>
      </c>
      <c r="AY65" s="20">
        <v>110891.27068881014</v>
      </c>
      <c r="AZ65" s="20">
        <v>332673.8120664304</v>
      </c>
      <c r="BA65" s="20">
        <v>776238.89482167095</v>
      </c>
      <c r="BB65" s="20">
        <v>66822.315389129435</v>
      </c>
      <c r="BC65" s="20">
        <v>96655.873025941983</v>
      </c>
      <c r="BD65" s="20">
        <v>0</v>
      </c>
      <c r="BE65" s="20">
        <v>1164358.3422325065</v>
      </c>
      <c r="BF65" s="20">
        <v>0</v>
      </c>
      <c r="BG65" s="20">
        <v>221782.54137762028</v>
      </c>
      <c r="BH65" s="21">
        <f>78760-35800</f>
        <v>42960</v>
      </c>
      <c r="BI65" s="21">
        <f>78760-35800</f>
        <v>42960</v>
      </c>
      <c r="BJ65" s="20">
        <v>0</v>
      </c>
      <c r="BK65" s="20">
        <v>0</v>
      </c>
      <c r="BL65" s="20"/>
      <c r="BM65" s="20">
        <v>71600</v>
      </c>
      <c r="BN65" s="20">
        <v>196466.6</v>
      </c>
      <c r="BO65" s="20">
        <v>3250.32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110891.27068881014</v>
      </c>
      <c r="CK65" s="20">
        <v>0</v>
      </c>
      <c r="CL65" s="20"/>
      <c r="CM65" s="20">
        <v>0</v>
      </c>
      <c r="CN65" s="20">
        <v>0</v>
      </c>
      <c r="CO65" s="20">
        <v>111843.51999999999</v>
      </c>
      <c r="CP65" s="20">
        <v>0</v>
      </c>
      <c r="CQ65" s="20">
        <v>0</v>
      </c>
      <c r="CR65" s="20">
        <v>0</v>
      </c>
      <c r="CS65" s="20">
        <v>2900</v>
      </c>
      <c r="CT65" s="20">
        <v>0</v>
      </c>
      <c r="CU65" s="20">
        <v>29711.703703703704</v>
      </c>
      <c r="CV65" s="20">
        <v>0</v>
      </c>
      <c r="CW65" s="20"/>
      <c r="CX65" s="20">
        <v>0</v>
      </c>
      <c r="CY65" s="20">
        <v>0</v>
      </c>
      <c r="CZ65" s="20">
        <v>5000</v>
      </c>
      <c r="DA65" s="20">
        <v>113945.66</v>
      </c>
      <c r="DB65" s="20">
        <v>46800</v>
      </c>
      <c r="DC65" s="20">
        <v>147617.14400564801</v>
      </c>
      <c r="DD65" s="20">
        <v>0</v>
      </c>
      <c r="DE65" s="20">
        <v>0</v>
      </c>
      <c r="DF65" s="20">
        <v>0</v>
      </c>
      <c r="DG65" s="20">
        <v>0</v>
      </c>
      <c r="DH65" s="20">
        <v>61311</v>
      </c>
      <c r="DI65" s="20"/>
      <c r="DJ65" s="20">
        <v>10124.999641254544</v>
      </c>
      <c r="DK65" s="22">
        <v>0</v>
      </c>
      <c r="DL65" s="20">
        <v>0</v>
      </c>
      <c r="DM65" s="20">
        <v>0</v>
      </c>
      <c r="DN65" s="20">
        <v>8364574.8478174517</v>
      </c>
      <c r="DO65" s="20">
        <f t="shared" si="0"/>
        <v>4484730.7610683898</v>
      </c>
      <c r="DP65" s="21">
        <v>335290</v>
      </c>
      <c r="DQ65" s="20">
        <f t="shared" si="20"/>
        <v>85920</v>
      </c>
      <c r="DR65" s="20">
        <f t="shared" si="21"/>
        <v>13024.999641254544</v>
      </c>
      <c r="DS65" s="20">
        <f t="shared" si="12"/>
        <v>236345.00035874546</v>
      </c>
      <c r="DT65" s="23">
        <f t="shared" si="13"/>
        <v>0.70489725419411686</v>
      </c>
      <c r="DU65" s="20">
        <f t="shared" si="22"/>
        <v>4876700.9363601627</v>
      </c>
      <c r="DV65" s="20">
        <f t="shared" si="23"/>
        <v>1383282.1659919827</v>
      </c>
      <c r="DW65" s="20">
        <f t="shared" si="24"/>
        <v>1386140.8836101268</v>
      </c>
      <c r="DX65" s="20">
        <f t="shared" si="25"/>
        <v>271316.92</v>
      </c>
      <c r="DY65" s="20">
        <f t="shared" si="26"/>
        <v>0</v>
      </c>
      <c r="DZ65" s="20">
        <f t="shared" si="27"/>
        <v>0</v>
      </c>
      <c r="EA65" s="20">
        <f t="shared" si="28"/>
        <v>0</v>
      </c>
      <c r="EB65" s="20">
        <f t="shared" si="29"/>
        <v>111843.51999999999</v>
      </c>
      <c r="EC65" s="20">
        <f t="shared" si="14"/>
        <v>236345.00035874546</v>
      </c>
      <c r="ED65" s="20">
        <f t="shared" si="15"/>
        <v>85920</v>
      </c>
      <c r="EE65" s="20">
        <f t="shared" si="15"/>
        <v>13024.999641254544</v>
      </c>
      <c r="EF65" s="20">
        <f t="shared" si="16"/>
        <v>335290</v>
      </c>
      <c r="EG65" s="23">
        <f t="shared" si="17"/>
        <v>0.70489725419411686</v>
      </c>
      <c r="EH65" s="20">
        <f t="shared" si="18"/>
        <v>8364574.4259622712</v>
      </c>
    </row>
    <row r="66" spans="1:138" x14ac:dyDescent="0.25">
      <c r="A66" s="18">
        <v>274</v>
      </c>
      <c r="B66" t="s">
        <v>206</v>
      </c>
      <c r="C66" t="s">
        <v>135</v>
      </c>
      <c r="D66">
        <v>6</v>
      </c>
      <c r="E66">
        <v>490</v>
      </c>
      <c r="F66" s="19">
        <f t="shared" si="11"/>
        <v>0.1326530612244898</v>
      </c>
      <c r="G66">
        <v>65</v>
      </c>
      <c r="H66" s="20">
        <v>191050.75104188372</v>
      </c>
      <c r="I66" s="20">
        <v>110891.27068881014</v>
      </c>
      <c r="J66" s="20">
        <v>183497.69905998593</v>
      </c>
      <c r="K66" s="20">
        <v>0</v>
      </c>
      <c r="L66" s="20">
        <v>0</v>
      </c>
      <c r="M66" s="20">
        <v>89505.059196611037</v>
      </c>
      <c r="N66" s="20">
        <v>59866.796146808359</v>
      </c>
      <c r="O66" s="20">
        <v>53797.432653959608</v>
      </c>
      <c r="P66" s="20">
        <v>0</v>
      </c>
      <c r="Q66" s="20">
        <v>0</v>
      </c>
      <c r="R66" s="20"/>
      <c r="S66" s="20">
        <v>77625.750694703253</v>
      </c>
      <c r="T66" s="20">
        <v>60676.224767295193</v>
      </c>
      <c r="U66" s="20">
        <v>99432.634749854755</v>
      </c>
      <c r="V66" s="20">
        <v>110891.27068881014</v>
      </c>
      <c r="W66" s="20">
        <v>110891.27068881014</v>
      </c>
      <c r="X66" s="20">
        <v>110891.27068881014</v>
      </c>
      <c r="Y66" s="20">
        <v>110891.27068881014</v>
      </c>
      <c r="Z66" s="20">
        <v>166336.9060332152</v>
      </c>
      <c r="AA66" s="20"/>
      <c r="AB66" s="20">
        <v>221782.54137762028</v>
      </c>
      <c r="AC66" s="20">
        <v>66822.315389129435</v>
      </c>
      <c r="AD66" s="20">
        <v>110891.27068881014</v>
      </c>
      <c r="AE66" s="20">
        <v>33411.157694564718</v>
      </c>
      <c r="AF66" s="20">
        <v>221782.54137762028</v>
      </c>
      <c r="AG66" s="20">
        <v>66822.315389129435</v>
      </c>
      <c r="AH66" s="20">
        <v>443565.08275524055</v>
      </c>
      <c r="AI66" s="20">
        <v>133644.63077825887</v>
      </c>
      <c r="AJ66" s="20">
        <v>443565.08275524055</v>
      </c>
      <c r="AK66" s="20">
        <v>332673.8120664304</v>
      </c>
      <c r="AL66" s="20">
        <v>332673.8120664304</v>
      </c>
      <c r="AM66" s="20">
        <v>332673.8120664304</v>
      </c>
      <c r="AN66" s="20">
        <v>221782.54137762028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/>
      <c r="AX66" s="20">
        <v>0</v>
      </c>
      <c r="AY66" s="20">
        <v>55445.635344405069</v>
      </c>
      <c r="AZ66" s="20">
        <v>110891.27068881014</v>
      </c>
      <c r="BA66" s="20">
        <v>443565.08275524055</v>
      </c>
      <c r="BB66" s="20">
        <v>0</v>
      </c>
      <c r="BC66" s="20">
        <v>0</v>
      </c>
      <c r="BD66" s="20">
        <v>0</v>
      </c>
      <c r="BE66" s="20">
        <v>110891.27068881014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/>
      <c r="BM66" s="20">
        <v>0</v>
      </c>
      <c r="BN66" s="20">
        <v>0</v>
      </c>
      <c r="BO66" s="20">
        <v>0</v>
      </c>
      <c r="BP66" s="20">
        <v>11425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/>
      <c r="CM66" s="20">
        <v>0</v>
      </c>
      <c r="CN66" s="20">
        <v>0</v>
      </c>
      <c r="CO66" s="20">
        <v>111843.51999999999</v>
      </c>
      <c r="CP66" s="20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26609.181818181816</v>
      </c>
      <c r="CV66" s="20">
        <v>0</v>
      </c>
      <c r="CW66" s="20"/>
      <c r="CX66" s="20">
        <v>0</v>
      </c>
      <c r="CY66" s="20">
        <v>0</v>
      </c>
      <c r="CZ66" s="20">
        <v>0</v>
      </c>
      <c r="DA66" s="20">
        <v>0</v>
      </c>
      <c r="DB66" s="20">
        <v>49000</v>
      </c>
      <c r="DC66" s="20">
        <v>84027.98950707537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/>
      <c r="DJ66" s="20">
        <v>2625.0000554136932</v>
      </c>
      <c r="DK66" s="22">
        <v>0</v>
      </c>
      <c r="DL66" s="20">
        <v>0</v>
      </c>
      <c r="DM66" s="20">
        <v>0</v>
      </c>
      <c r="DN66" s="20">
        <v>5504660.4744288307</v>
      </c>
      <c r="DO66" s="20">
        <f t="shared" ref="DO66:DO93" si="32">SUM(H66:Q66,V66:Z66,AB66:AW66,CE66:CF66,CK66,CM66:CN66,CP66:CQ66,CU66,DB66:DC66)</f>
        <v>4420239.0846842965</v>
      </c>
      <c r="DP66" s="21">
        <v>150303</v>
      </c>
      <c r="DQ66" s="20">
        <f t="shared" ref="DQ66:DQ97" si="33">SUM(BH66:BK66)</f>
        <v>0</v>
      </c>
      <c r="DR66" s="20">
        <f t="shared" ref="DR66:DR97" si="34">SUM(R66,AA66,AX66,BS66:BZ66,CB66:CD66,CG66:CI66,CL66,CS66:CT66,CV66,DJ66)</f>
        <v>2625.0000554136932</v>
      </c>
      <c r="DS66" s="20">
        <f t="shared" si="12"/>
        <v>147677.99994458631</v>
      </c>
      <c r="DT66" s="23">
        <f t="shared" si="13"/>
        <v>0.98253527836827148</v>
      </c>
      <c r="DU66" s="20">
        <f t="shared" ref="DU66:DU97" si="35">SUM(H66:Q66,S66:Z66,AB66:AW66,BL66,BQ66:BR66,CE66:CF66,CJ66:CK66,CM66:CN66,CP66:CQ66,CU66,CW66:DC66,DF66:DI66,DM66)-EC66</f>
        <v>4510295.6949515631</v>
      </c>
      <c r="DV66" s="20">
        <f t="shared" ref="DV66:DV97" si="36">SUM(AY66:BD66)</f>
        <v>609901.98878845572</v>
      </c>
      <c r="DW66" s="20">
        <f t="shared" ref="DW66:DW97" si="37">SUM(BE66:BG66)</f>
        <v>110891.27068881014</v>
      </c>
      <c r="DX66" s="20">
        <f t="shared" ref="DX66:DX97" si="38">SUM(BM66:BP66,CA66,CR66,DK66,)</f>
        <v>11425</v>
      </c>
      <c r="DY66" s="20">
        <f t="shared" ref="DY66:DY97" si="39">DE66</f>
        <v>0</v>
      </c>
      <c r="DZ66" s="20">
        <f t="shared" ref="DZ66:DZ97" si="40">DD66</f>
        <v>0</v>
      </c>
      <c r="EA66" s="20">
        <f t="shared" ref="EA66:EA97" si="41">DL66</f>
        <v>0</v>
      </c>
      <c r="EB66" s="20">
        <f t="shared" ref="EB66:EB97" si="42">CO66</f>
        <v>111843.51999999999</v>
      </c>
      <c r="EC66" s="20">
        <f t="shared" si="14"/>
        <v>147677.99994458631</v>
      </c>
      <c r="ED66" s="20">
        <f t="shared" si="15"/>
        <v>0</v>
      </c>
      <c r="EE66" s="20">
        <f t="shared" si="15"/>
        <v>2625.0000554136932</v>
      </c>
      <c r="EF66" s="20">
        <f t="shared" si="16"/>
        <v>150303</v>
      </c>
      <c r="EG66" s="23">
        <f t="shared" si="17"/>
        <v>0.98253527836827148</v>
      </c>
      <c r="EH66" s="20">
        <f t="shared" si="18"/>
        <v>5504660.4744288288</v>
      </c>
    </row>
    <row r="67" spans="1:138" x14ac:dyDescent="0.25">
      <c r="A67" s="18">
        <v>435</v>
      </c>
      <c r="B67" t="s">
        <v>207</v>
      </c>
      <c r="C67" t="s">
        <v>152</v>
      </c>
      <c r="D67">
        <v>5</v>
      </c>
      <c r="E67">
        <v>242</v>
      </c>
      <c r="F67" s="19">
        <f t="shared" ref="F67:F118" si="43">G67/E67</f>
        <v>0.57024793388429751</v>
      </c>
      <c r="G67">
        <v>138</v>
      </c>
      <c r="H67" s="20">
        <v>95525.37552094186</v>
      </c>
      <c r="I67" s="20">
        <v>110891.27068881014</v>
      </c>
      <c r="J67" s="20">
        <v>275246.54858997889</v>
      </c>
      <c r="K67" s="20">
        <v>110891.27068881014</v>
      </c>
      <c r="L67" s="20">
        <v>0</v>
      </c>
      <c r="M67" s="20">
        <v>44752.529598305518</v>
      </c>
      <c r="N67" s="20">
        <v>59866.796146808359</v>
      </c>
      <c r="O67" s="20">
        <v>0</v>
      </c>
      <c r="P67" s="20">
        <v>0</v>
      </c>
      <c r="Q67" s="20">
        <v>0</v>
      </c>
      <c r="R67" s="20"/>
      <c r="S67" s="20">
        <v>77625.750694703253</v>
      </c>
      <c r="T67" s="20">
        <v>60676.224767295193</v>
      </c>
      <c r="U67" s="20">
        <v>99432.634749854755</v>
      </c>
      <c r="V67" s="20">
        <v>55445.635344405069</v>
      </c>
      <c r="W67" s="20">
        <v>0</v>
      </c>
      <c r="X67" s="20">
        <v>0</v>
      </c>
      <c r="Y67" s="20">
        <v>0</v>
      </c>
      <c r="Z67" s="20">
        <v>0</v>
      </c>
      <c r="AA67" s="20"/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377030.32034195447</v>
      </c>
      <c r="AP67" s="20">
        <v>432475.95568635955</v>
      </c>
      <c r="AQ67" s="20">
        <v>410297.70154859754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/>
      <c r="AX67" s="20">
        <v>0</v>
      </c>
      <c r="AY67" s="20">
        <v>110891.27068881014</v>
      </c>
      <c r="AZ67" s="20">
        <v>332673.8120664304</v>
      </c>
      <c r="BA67" s="20">
        <v>887130.16551048111</v>
      </c>
      <c r="BB67" s="20">
        <v>100233.47308369415</v>
      </c>
      <c r="BC67" s="20">
        <v>48327.936512970991</v>
      </c>
      <c r="BD67" s="20">
        <v>0</v>
      </c>
      <c r="BE67" s="20">
        <v>110891.27068881014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/>
      <c r="BM67" s="20">
        <v>0</v>
      </c>
      <c r="BN67" s="20">
        <v>75798.45</v>
      </c>
      <c r="BO67" s="20">
        <v>1223.6199999999999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0">
        <v>0</v>
      </c>
      <c r="CJ67" s="20">
        <v>0</v>
      </c>
      <c r="CK67" s="20">
        <v>221782.54137762028</v>
      </c>
      <c r="CL67" s="20"/>
      <c r="CM67" s="20">
        <v>23000</v>
      </c>
      <c r="CN67" s="20">
        <v>5000</v>
      </c>
      <c r="CO67" s="20">
        <v>188124.15999999997</v>
      </c>
      <c r="CP67" s="20">
        <v>100000</v>
      </c>
      <c r="CQ67" s="20">
        <v>0</v>
      </c>
      <c r="CR67" s="20">
        <v>75000</v>
      </c>
      <c r="CS67" s="20">
        <v>2760</v>
      </c>
      <c r="CT67" s="20">
        <v>0</v>
      </c>
      <c r="CU67" s="20">
        <v>18459.710344827588</v>
      </c>
      <c r="CV67" s="20">
        <v>0</v>
      </c>
      <c r="CW67" s="20"/>
      <c r="CX67" s="20">
        <v>0</v>
      </c>
      <c r="CY67" s="20">
        <v>0</v>
      </c>
      <c r="CZ67" s="20">
        <v>0</v>
      </c>
      <c r="DA67" s="20">
        <v>0</v>
      </c>
      <c r="DB67" s="20">
        <v>24200</v>
      </c>
      <c r="DC67" s="20">
        <v>66365.62459715984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/>
      <c r="DJ67" s="20">
        <v>42000.001017004251</v>
      </c>
      <c r="DK67" s="22">
        <v>0</v>
      </c>
      <c r="DL67" s="20">
        <v>0</v>
      </c>
      <c r="DM67" s="20">
        <v>0</v>
      </c>
      <c r="DN67" s="20">
        <v>4644020.0502546346</v>
      </c>
      <c r="DO67" s="20">
        <f t="shared" si="32"/>
        <v>2431231.280474579</v>
      </c>
      <c r="DP67" s="21">
        <v>319104</v>
      </c>
      <c r="DQ67" s="20">
        <f t="shared" si="33"/>
        <v>0</v>
      </c>
      <c r="DR67" s="20">
        <f t="shared" si="34"/>
        <v>44760.001017004251</v>
      </c>
      <c r="DS67" s="20">
        <f t="shared" ref="DS67:DS118" si="44">DP67-SUM(DQ67:DR67)</f>
        <v>274343.99898299575</v>
      </c>
      <c r="DT67" s="23">
        <f t="shared" ref="DT67:DT117" si="45">DS67/DP67</f>
        <v>0.85973224711378027</v>
      </c>
      <c r="DU67" s="20">
        <f t="shared" si="35"/>
        <v>2394621.8917034371</v>
      </c>
      <c r="DV67" s="20">
        <f t="shared" si="36"/>
        <v>1479256.6578623869</v>
      </c>
      <c r="DW67" s="20">
        <f t="shared" si="37"/>
        <v>110891.27068881014</v>
      </c>
      <c r="DX67" s="20">
        <f t="shared" si="38"/>
        <v>152022.07</v>
      </c>
      <c r="DY67" s="20">
        <f t="shared" si="39"/>
        <v>0</v>
      </c>
      <c r="DZ67" s="20">
        <f t="shared" si="40"/>
        <v>0</v>
      </c>
      <c r="EA67" s="20">
        <f t="shared" si="41"/>
        <v>0</v>
      </c>
      <c r="EB67" s="20">
        <f t="shared" si="42"/>
        <v>188124.15999999997</v>
      </c>
      <c r="EC67" s="20">
        <f t="shared" ref="EC67:EC118" si="46">DS67</f>
        <v>274343.99898299575</v>
      </c>
      <c r="ED67" s="20">
        <f t="shared" ref="ED67:EE118" si="47">DQ67</f>
        <v>0</v>
      </c>
      <c r="EE67" s="20">
        <f t="shared" si="47"/>
        <v>44760.001017004251</v>
      </c>
      <c r="EF67" s="20">
        <f t="shared" ref="EF67:EF118" si="48">SUM(EC67:EE67)</f>
        <v>319104</v>
      </c>
      <c r="EG67" s="23">
        <f t="shared" ref="EG67:EG117" si="49">EC67/EF67</f>
        <v>0.85973224711378027</v>
      </c>
      <c r="EH67" s="20">
        <f t="shared" ref="EH67:EH118" si="50">SUM(DU67:EE67)</f>
        <v>4644020.0502546337</v>
      </c>
    </row>
    <row r="68" spans="1:138" x14ac:dyDescent="0.25">
      <c r="A68" s="18">
        <v>458</v>
      </c>
      <c r="B68" t="s">
        <v>208</v>
      </c>
      <c r="C68" t="s">
        <v>138</v>
      </c>
      <c r="D68">
        <v>5</v>
      </c>
      <c r="E68">
        <v>686</v>
      </c>
      <c r="F68" s="19">
        <f t="shared" si="43"/>
        <v>0.38483965014577259</v>
      </c>
      <c r="G68">
        <v>264</v>
      </c>
      <c r="H68" s="20">
        <v>95525.37552094186</v>
      </c>
      <c r="I68" s="20">
        <v>110891.27068881014</v>
      </c>
      <c r="J68" s="20">
        <v>351703.92319830635</v>
      </c>
      <c r="K68" s="20">
        <v>0</v>
      </c>
      <c r="L68" s="20">
        <v>374276.58262664371</v>
      </c>
      <c r="M68" s="20">
        <v>89505.059196611037</v>
      </c>
      <c r="N68" s="20">
        <v>59866.796146808359</v>
      </c>
      <c r="O68" s="20">
        <v>76213.029593109444</v>
      </c>
      <c r="P68" s="20">
        <v>49534.351124581444</v>
      </c>
      <c r="Q68" s="20">
        <v>69924.031375330247</v>
      </c>
      <c r="R68" s="20"/>
      <c r="S68" s="20">
        <v>77625.750694703253</v>
      </c>
      <c r="T68" s="20">
        <v>60676.224767295193</v>
      </c>
      <c r="U68" s="20">
        <v>298297.90424956428</v>
      </c>
      <c r="V68" s="20">
        <v>110891.27068881014</v>
      </c>
      <c r="W68" s="20">
        <v>0</v>
      </c>
      <c r="X68" s="20">
        <v>0</v>
      </c>
      <c r="Y68" s="20">
        <v>0</v>
      </c>
      <c r="Z68" s="20">
        <v>0</v>
      </c>
      <c r="AA68" s="20"/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931486.67378600524</v>
      </c>
      <c r="AS68" s="20">
        <v>809506.27602831402</v>
      </c>
      <c r="AT68" s="20">
        <v>742971.513615028</v>
      </c>
      <c r="AU68" s="20">
        <v>698615.00533950387</v>
      </c>
      <c r="AV68" s="20">
        <v>0</v>
      </c>
      <c r="AW68" s="20"/>
      <c r="AX68" s="20">
        <v>0</v>
      </c>
      <c r="AY68" s="20">
        <v>110891.27068881014</v>
      </c>
      <c r="AZ68" s="20">
        <v>221782.54137762028</v>
      </c>
      <c r="BA68" s="20">
        <v>221782.54137762028</v>
      </c>
      <c r="BB68" s="20">
        <v>0</v>
      </c>
      <c r="BC68" s="20">
        <v>0</v>
      </c>
      <c r="BD68" s="20">
        <v>0</v>
      </c>
      <c r="BE68" s="20">
        <v>110891.27068881014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/>
      <c r="BM68" s="20">
        <v>0</v>
      </c>
      <c r="BN68" s="20">
        <v>200390.22</v>
      </c>
      <c r="BO68" s="20">
        <v>3234.92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90000</v>
      </c>
      <c r="CB68" s="20">
        <v>0</v>
      </c>
      <c r="CC68" s="20">
        <v>0</v>
      </c>
      <c r="CD68" s="20">
        <v>0</v>
      </c>
      <c r="CE68" s="20">
        <v>221782.54137762028</v>
      </c>
      <c r="CF68" s="20">
        <v>0</v>
      </c>
      <c r="CG68" s="20">
        <v>420378.34796951094</v>
      </c>
      <c r="CH68" s="20">
        <v>0</v>
      </c>
      <c r="CI68" s="20">
        <v>110891.27068881014</v>
      </c>
      <c r="CJ68" s="20">
        <v>0</v>
      </c>
      <c r="CK68" s="20">
        <v>0</v>
      </c>
      <c r="CL68" s="20"/>
      <c r="CM68" s="20">
        <v>0</v>
      </c>
      <c r="CN68" s="20">
        <v>0</v>
      </c>
      <c r="CO68" s="20">
        <v>355889.44</v>
      </c>
      <c r="CP68" s="20">
        <v>0</v>
      </c>
      <c r="CQ68" s="20">
        <v>114084.97559574516</v>
      </c>
      <c r="CR68" s="20">
        <v>0</v>
      </c>
      <c r="CS68" s="20">
        <v>5280</v>
      </c>
      <c r="CT68" s="20">
        <v>0</v>
      </c>
      <c r="CU68" s="20">
        <v>95151.75</v>
      </c>
      <c r="CV68" s="20">
        <v>0</v>
      </c>
      <c r="CW68" s="20"/>
      <c r="CX68" s="20">
        <v>0</v>
      </c>
      <c r="CY68" s="20">
        <v>0</v>
      </c>
      <c r="CZ68" s="20">
        <v>0</v>
      </c>
      <c r="DA68" s="20">
        <v>0</v>
      </c>
      <c r="DB68" s="20">
        <v>68600</v>
      </c>
      <c r="DC68" s="20">
        <v>93169.792577740474</v>
      </c>
      <c r="DD68" s="20">
        <v>0</v>
      </c>
      <c r="DE68" s="20">
        <v>1680585.0389999999</v>
      </c>
      <c r="DF68" s="20">
        <v>0</v>
      </c>
      <c r="DG68" s="20">
        <v>0</v>
      </c>
      <c r="DH68" s="20">
        <v>0</v>
      </c>
      <c r="DI68" s="20"/>
      <c r="DJ68" s="20">
        <v>3150.0000234693289</v>
      </c>
      <c r="DK68" s="22">
        <v>0</v>
      </c>
      <c r="DL68" s="20">
        <v>0</v>
      </c>
      <c r="DM68" s="20">
        <v>0</v>
      </c>
      <c r="DN68" s="20">
        <v>9135446.9600061253</v>
      </c>
      <c r="DO68" s="20">
        <f t="shared" si="32"/>
        <v>5163700.2184799099</v>
      </c>
      <c r="DP68" s="21">
        <v>610460</v>
      </c>
      <c r="DQ68" s="20">
        <f t="shared" si="33"/>
        <v>0</v>
      </c>
      <c r="DR68" s="20">
        <f t="shared" si="34"/>
        <v>539699.61868179042</v>
      </c>
      <c r="DS68" s="20">
        <f t="shared" si="44"/>
        <v>70760.381318209576</v>
      </c>
      <c r="DT68" s="23">
        <f t="shared" si="45"/>
        <v>0.11591321514629882</v>
      </c>
      <c r="DU68" s="20">
        <f t="shared" si="35"/>
        <v>5529539.7168732639</v>
      </c>
      <c r="DV68" s="20">
        <f t="shared" si="36"/>
        <v>554456.35344405065</v>
      </c>
      <c r="DW68" s="20">
        <f t="shared" si="37"/>
        <v>110891.27068881014</v>
      </c>
      <c r="DX68" s="20">
        <f t="shared" si="38"/>
        <v>293625.14</v>
      </c>
      <c r="DY68" s="20">
        <f t="shared" si="39"/>
        <v>1680585.0389999999</v>
      </c>
      <c r="DZ68" s="20">
        <f t="shared" si="40"/>
        <v>0</v>
      </c>
      <c r="EA68" s="20">
        <f t="shared" si="41"/>
        <v>0</v>
      </c>
      <c r="EB68" s="20">
        <f t="shared" si="42"/>
        <v>355889.44</v>
      </c>
      <c r="EC68" s="20">
        <f t="shared" si="46"/>
        <v>70760.381318209576</v>
      </c>
      <c r="ED68" s="20">
        <f t="shared" si="47"/>
        <v>0</v>
      </c>
      <c r="EE68" s="20">
        <f t="shared" si="47"/>
        <v>539699.61868179042</v>
      </c>
      <c r="EF68" s="20">
        <f t="shared" si="48"/>
        <v>610460</v>
      </c>
      <c r="EG68" s="23">
        <f t="shared" si="49"/>
        <v>0.11591321514629882</v>
      </c>
      <c r="EH68" s="20">
        <f t="shared" si="50"/>
        <v>9135446.9600061253</v>
      </c>
    </row>
    <row r="69" spans="1:138" x14ac:dyDescent="0.25">
      <c r="A69" s="18">
        <v>280</v>
      </c>
      <c r="B69" t="s">
        <v>209</v>
      </c>
      <c r="C69" t="s">
        <v>135</v>
      </c>
      <c r="D69">
        <v>6</v>
      </c>
      <c r="E69">
        <v>390</v>
      </c>
      <c r="F69" s="19">
        <f t="shared" si="43"/>
        <v>0.62820512820512819</v>
      </c>
      <c r="G69">
        <v>245</v>
      </c>
      <c r="H69" s="20">
        <v>191050.75104188372</v>
      </c>
      <c r="I69" s="20">
        <v>110891.27068881014</v>
      </c>
      <c r="J69" s="20">
        <v>152914.74921665495</v>
      </c>
      <c r="K69" s="20">
        <v>0</v>
      </c>
      <c r="L69" s="20">
        <v>0</v>
      </c>
      <c r="M69" s="20">
        <v>89505.059196611037</v>
      </c>
      <c r="N69" s="20">
        <v>59866.796146808359</v>
      </c>
      <c r="O69" s="20">
        <v>0</v>
      </c>
      <c r="P69" s="20">
        <v>0</v>
      </c>
      <c r="Q69" s="20">
        <v>0</v>
      </c>
      <c r="R69" s="20"/>
      <c r="S69" s="20">
        <v>77625.750694703253</v>
      </c>
      <c r="T69" s="20">
        <v>60676.224767295193</v>
      </c>
      <c r="U69" s="20">
        <v>99432.634749854755</v>
      </c>
      <c r="V69" s="20">
        <v>110891.27068881014</v>
      </c>
      <c r="W69" s="20">
        <v>110891.27068881014</v>
      </c>
      <c r="X69" s="20">
        <v>110891.27068881014</v>
      </c>
      <c r="Y69" s="20">
        <v>110891.27068881014</v>
      </c>
      <c r="Z69" s="20">
        <f>332673.81206643-AA69</f>
        <v>0</v>
      </c>
      <c r="AA69" s="20">
        <v>332673.8120664304</v>
      </c>
      <c r="AB69" s="20">
        <v>332673.8120664304</v>
      </c>
      <c r="AC69" s="20">
        <v>100233.47308369415</v>
      </c>
      <c r="AD69" s="20">
        <v>110891.27068881014</v>
      </c>
      <c r="AE69" s="20">
        <v>33411.157694564718</v>
      </c>
      <c r="AF69" s="20">
        <v>443565.08275524055</v>
      </c>
      <c r="AG69" s="20">
        <v>133644.63077825887</v>
      </c>
      <c r="AH69" s="20">
        <v>332673.8120664304</v>
      </c>
      <c r="AI69" s="20">
        <v>100233.47308369415</v>
      </c>
      <c r="AJ69" s="20">
        <v>221782.54137762028</v>
      </c>
      <c r="AK69" s="20">
        <v>221782.54137762028</v>
      </c>
      <c r="AL69" s="20">
        <v>221782.54137762028</v>
      </c>
      <c r="AM69" s="20">
        <v>221782.54137762028</v>
      </c>
      <c r="AN69" s="20">
        <v>221782.54137762028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/>
      <c r="AX69" s="20">
        <v>0</v>
      </c>
      <c r="AY69" s="20">
        <v>110891.27068881014</v>
      </c>
      <c r="AZ69" s="20">
        <v>221782.54137762028</v>
      </c>
      <c r="BA69" s="20">
        <v>998021.43619929126</v>
      </c>
      <c r="BB69" s="20">
        <v>167055.78847282359</v>
      </c>
      <c r="BC69" s="20">
        <v>0</v>
      </c>
      <c r="BD69" s="20">
        <v>0</v>
      </c>
      <c r="BE69" s="20">
        <v>110891.27068881014</v>
      </c>
      <c r="BF69" s="20">
        <v>0</v>
      </c>
      <c r="BG69" s="20">
        <v>0</v>
      </c>
      <c r="BH69" s="21">
        <f>42960-14320</f>
        <v>28640</v>
      </c>
      <c r="BI69" s="21">
        <f>42960-14320</f>
        <v>28640</v>
      </c>
      <c r="BJ69" s="20">
        <v>10740</v>
      </c>
      <c r="BK69" s="20">
        <v>0</v>
      </c>
      <c r="BL69" s="20"/>
      <c r="BM69" s="20">
        <v>28640</v>
      </c>
      <c r="BN69" s="20">
        <v>158963.22</v>
      </c>
      <c r="BO69" s="20">
        <v>2629.87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0">
        <v>0</v>
      </c>
      <c r="CJ69" s="20">
        <v>0</v>
      </c>
      <c r="CK69" s="20">
        <v>0</v>
      </c>
      <c r="CL69" s="20"/>
      <c r="CM69" s="20">
        <v>0</v>
      </c>
      <c r="CN69" s="20">
        <v>0</v>
      </c>
      <c r="CO69" s="20">
        <v>111843.51999999999</v>
      </c>
      <c r="CP69" s="20">
        <v>0</v>
      </c>
      <c r="CQ69" s="20">
        <v>0</v>
      </c>
      <c r="CR69" s="20">
        <v>0</v>
      </c>
      <c r="CS69" s="20">
        <v>4900</v>
      </c>
      <c r="CT69" s="20">
        <v>0</v>
      </c>
      <c r="CU69" s="20">
        <v>21367.454545454544</v>
      </c>
      <c r="CV69" s="20">
        <v>0</v>
      </c>
      <c r="CW69" s="20"/>
      <c r="CX69" s="20">
        <v>0</v>
      </c>
      <c r="CY69" s="20">
        <v>0</v>
      </c>
      <c r="CZ69" s="20">
        <v>0</v>
      </c>
      <c r="DA69" s="20">
        <v>0</v>
      </c>
      <c r="DB69" s="20">
        <v>39000</v>
      </c>
      <c r="DC69" s="20">
        <v>95361.650111495648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/>
      <c r="DJ69" s="20">
        <v>23725.000280886889</v>
      </c>
      <c r="DK69" s="22">
        <v>0</v>
      </c>
      <c r="DL69" s="20">
        <v>0</v>
      </c>
      <c r="DM69" s="20">
        <v>0</v>
      </c>
      <c r="DN69" s="20">
        <v>6477534.5727947094</v>
      </c>
      <c r="DO69" s="20">
        <f t="shared" si="32"/>
        <v>3899762.2328081834</v>
      </c>
      <c r="DP69" s="21">
        <v>566525</v>
      </c>
      <c r="DQ69" s="20">
        <f t="shared" si="33"/>
        <v>68020</v>
      </c>
      <c r="DR69" s="20">
        <f t="shared" si="34"/>
        <v>361298.81234731729</v>
      </c>
      <c r="DS69" s="20">
        <f t="shared" si="44"/>
        <v>137206.18765268271</v>
      </c>
      <c r="DT69" s="23">
        <f t="shared" si="45"/>
        <v>0.24218911372434176</v>
      </c>
      <c r="DU69" s="20">
        <f t="shared" si="35"/>
        <v>4000290.6553673535</v>
      </c>
      <c r="DV69" s="20">
        <f t="shared" si="36"/>
        <v>1497751.0367385452</v>
      </c>
      <c r="DW69" s="20">
        <f t="shared" si="37"/>
        <v>110891.27068881014</v>
      </c>
      <c r="DX69" s="20">
        <f t="shared" si="38"/>
        <v>190233.09</v>
      </c>
      <c r="DY69" s="20">
        <f t="shared" si="39"/>
        <v>0</v>
      </c>
      <c r="DZ69" s="20">
        <f t="shared" si="40"/>
        <v>0</v>
      </c>
      <c r="EA69" s="20">
        <f t="shared" si="41"/>
        <v>0</v>
      </c>
      <c r="EB69" s="20">
        <f t="shared" si="42"/>
        <v>111843.51999999999</v>
      </c>
      <c r="EC69" s="20">
        <f t="shared" si="46"/>
        <v>137206.18765268271</v>
      </c>
      <c r="ED69" s="20">
        <f t="shared" si="47"/>
        <v>68020</v>
      </c>
      <c r="EE69" s="20">
        <f t="shared" si="47"/>
        <v>361298.81234731729</v>
      </c>
      <c r="EF69" s="20">
        <f t="shared" si="48"/>
        <v>566525</v>
      </c>
      <c r="EG69" s="23">
        <f t="shared" si="49"/>
        <v>0.24218911372434176</v>
      </c>
      <c r="EH69" s="20">
        <f t="shared" si="50"/>
        <v>6477534.5727947084</v>
      </c>
    </row>
    <row r="70" spans="1:138" x14ac:dyDescent="0.25">
      <c r="A70" s="18">
        <v>285</v>
      </c>
      <c r="B70" t="s">
        <v>210</v>
      </c>
      <c r="C70" t="s">
        <v>135</v>
      </c>
      <c r="D70">
        <v>8</v>
      </c>
      <c r="E70">
        <v>261</v>
      </c>
      <c r="F70" s="19">
        <f t="shared" si="43"/>
        <v>0.94636015325670497</v>
      </c>
      <c r="G70">
        <v>247</v>
      </c>
      <c r="H70" s="20">
        <v>191050.75104188372</v>
      </c>
      <c r="I70" s="20">
        <v>110891.27068881014</v>
      </c>
      <c r="J70" s="20">
        <v>0</v>
      </c>
      <c r="K70" s="20">
        <v>0</v>
      </c>
      <c r="L70" s="20">
        <v>0</v>
      </c>
      <c r="M70" s="20">
        <v>44752.529598305518</v>
      </c>
      <c r="N70" s="20">
        <v>59866.796146808359</v>
      </c>
      <c r="O70" s="20">
        <v>0</v>
      </c>
      <c r="P70" s="20">
        <v>0</v>
      </c>
      <c r="Q70" s="20">
        <v>0</v>
      </c>
      <c r="R70" s="20"/>
      <c r="S70" s="20">
        <v>77625.750694703253</v>
      </c>
      <c r="T70" s="20">
        <v>60676.224767295193</v>
      </c>
      <c r="U70" s="20">
        <v>49716.317374927377</v>
      </c>
      <c r="V70" s="20">
        <v>55445.635344405069</v>
      </c>
      <c r="W70" s="20">
        <v>110891.27068881014</v>
      </c>
      <c r="X70" s="20">
        <v>110891.27068881014</v>
      </c>
      <c r="Y70" s="20">
        <v>110891.27068881014</v>
      </c>
      <c r="Z70" s="20">
        <v>0</v>
      </c>
      <c r="AA70" s="20"/>
      <c r="AB70" s="20">
        <v>221782.54137762028</v>
      </c>
      <c r="AC70" s="20">
        <v>66822.315389129435</v>
      </c>
      <c r="AD70" s="20">
        <v>110891.27068881014</v>
      </c>
      <c r="AE70" s="20">
        <v>33411.157694564718</v>
      </c>
      <c r="AF70" s="20">
        <v>221782.54137762028</v>
      </c>
      <c r="AG70" s="20">
        <v>66822.315389129435</v>
      </c>
      <c r="AH70" s="20">
        <v>221782.54137762028</v>
      </c>
      <c r="AI70" s="20">
        <v>66822.315389129435</v>
      </c>
      <c r="AJ70" s="20">
        <v>110891.27068881014</v>
      </c>
      <c r="AK70" s="20">
        <v>221782.54137762028</v>
      </c>
      <c r="AL70" s="20">
        <v>221782.54137762028</v>
      </c>
      <c r="AM70" s="20">
        <v>221782.54137762028</v>
      </c>
      <c r="AN70" s="20">
        <v>221782.54137762028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/>
      <c r="AX70" s="20">
        <v>0</v>
      </c>
      <c r="AY70" s="20">
        <v>110891.27068881014</v>
      </c>
      <c r="AZ70" s="20">
        <v>221782.54137762028</v>
      </c>
      <c r="BA70" s="20">
        <v>554456.35344405065</v>
      </c>
      <c r="BB70" s="20">
        <v>66822.315389129435</v>
      </c>
      <c r="BC70" s="20">
        <v>0</v>
      </c>
      <c r="BD70" s="20">
        <v>0</v>
      </c>
      <c r="BE70" s="20">
        <v>5040.5123040368244</v>
      </c>
      <c r="BF70" s="20">
        <v>0</v>
      </c>
      <c r="BG70" s="20">
        <v>0</v>
      </c>
      <c r="BH70" s="21">
        <f>35800-14320</f>
        <v>21480</v>
      </c>
      <c r="BI70" s="21">
        <f>35800-14320</f>
        <v>21480</v>
      </c>
      <c r="BJ70" s="20">
        <v>10740</v>
      </c>
      <c r="BK70" s="20">
        <v>0</v>
      </c>
      <c r="BL70" s="20"/>
      <c r="BM70" s="20">
        <v>28640</v>
      </c>
      <c r="BN70" s="20">
        <v>122738.36</v>
      </c>
      <c r="BO70" s="20">
        <v>2030.57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110891.27068881014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0</v>
      </c>
      <c r="CH70" s="20">
        <v>0</v>
      </c>
      <c r="CI70" s="20">
        <v>0</v>
      </c>
      <c r="CJ70" s="20">
        <v>0</v>
      </c>
      <c r="CK70" s="20">
        <v>0</v>
      </c>
      <c r="CL70" s="20"/>
      <c r="CM70" s="20">
        <v>0</v>
      </c>
      <c r="CN70" s="20">
        <v>0</v>
      </c>
      <c r="CO70" s="20">
        <v>111843.51999999999</v>
      </c>
      <c r="CP70" s="20">
        <v>0</v>
      </c>
      <c r="CQ70" s="20">
        <v>0</v>
      </c>
      <c r="CR70" s="20">
        <v>75000</v>
      </c>
      <c r="CS70" s="20">
        <v>9880</v>
      </c>
      <c r="CT70" s="20">
        <v>0</v>
      </c>
      <c r="CU70" s="20">
        <v>15998.09375</v>
      </c>
      <c r="CV70" s="20">
        <v>0</v>
      </c>
      <c r="CW70" s="20"/>
      <c r="CX70" s="20">
        <v>0</v>
      </c>
      <c r="CY70" s="20">
        <v>0</v>
      </c>
      <c r="CZ70" s="20">
        <v>0</v>
      </c>
      <c r="DA70" s="20">
        <v>0</v>
      </c>
      <c r="DB70" s="20">
        <v>26100</v>
      </c>
      <c r="DC70" s="20">
        <v>63592.271304543123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/>
      <c r="DJ70" s="20">
        <v>31850.000309944153</v>
      </c>
      <c r="DK70" s="22">
        <v>0</v>
      </c>
      <c r="DL70" s="20">
        <v>224686.87747668638</v>
      </c>
      <c r="DM70" s="20">
        <v>150000</v>
      </c>
      <c r="DN70" s="20">
        <v>4976781.4793401202</v>
      </c>
      <c r="DO70" s="20">
        <f t="shared" si="32"/>
        <v>2908509.5948241013</v>
      </c>
      <c r="DP70" s="21">
        <v>571150</v>
      </c>
      <c r="DQ70" s="20">
        <f t="shared" si="33"/>
        <v>53700</v>
      </c>
      <c r="DR70" s="20">
        <f t="shared" si="34"/>
        <v>152621.27099875431</v>
      </c>
      <c r="DS70" s="20">
        <f t="shared" si="44"/>
        <v>364828.72900124569</v>
      </c>
      <c r="DT70" s="23">
        <f t="shared" si="45"/>
        <v>0.63876167206731282</v>
      </c>
      <c r="DU70" s="20">
        <f t="shared" si="35"/>
        <v>2881699.1586597813</v>
      </c>
      <c r="DV70" s="20">
        <f t="shared" si="36"/>
        <v>953952.48089961044</v>
      </c>
      <c r="DW70" s="20">
        <f t="shared" si="37"/>
        <v>5040.5123040368244</v>
      </c>
      <c r="DX70" s="20">
        <f t="shared" si="38"/>
        <v>228408.93</v>
      </c>
      <c r="DY70" s="20">
        <f t="shared" si="39"/>
        <v>0</v>
      </c>
      <c r="DZ70" s="20">
        <f t="shared" si="40"/>
        <v>0</v>
      </c>
      <c r="EA70" s="20">
        <f t="shared" si="41"/>
        <v>224686.87747668638</v>
      </c>
      <c r="EB70" s="20">
        <f t="shared" si="42"/>
        <v>111843.51999999999</v>
      </c>
      <c r="EC70" s="20">
        <f t="shared" si="46"/>
        <v>364828.72900124569</v>
      </c>
      <c r="ED70" s="20">
        <f t="shared" si="47"/>
        <v>53700</v>
      </c>
      <c r="EE70" s="20">
        <f t="shared" si="47"/>
        <v>152621.27099875431</v>
      </c>
      <c r="EF70" s="20">
        <f t="shared" si="48"/>
        <v>571150</v>
      </c>
      <c r="EG70" s="23">
        <f t="shared" si="49"/>
        <v>0.63876167206731282</v>
      </c>
      <c r="EH70" s="20">
        <f t="shared" si="50"/>
        <v>4976781.4793401146</v>
      </c>
    </row>
    <row r="71" spans="1:138" x14ac:dyDescent="0.25">
      <c r="A71" s="18">
        <v>287</v>
      </c>
      <c r="B71" t="s">
        <v>211</v>
      </c>
      <c r="C71" t="s">
        <v>135</v>
      </c>
      <c r="D71">
        <v>3</v>
      </c>
      <c r="E71">
        <v>651</v>
      </c>
      <c r="F71" s="19">
        <f t="shared" si="43"/>
        <v>5.8371735791090631E-2</v>
      </c>
      <c r="G71">
        <v>38</v>
      </c>
      <c r="H71" s="20">
        <v>191050.75104188372</v>
      </c>
      <c r="I71" s="20">
        <v>110891.27068881014</v>
      </c>
      <c r="J71" s="20">
        <v>244663.59874664794</v>
      </c>
      <c r="K71" s="20">
        <v>0</v>
      </c>
      <c r="L71" s="20">
        <v>0</v>
      </c>
      <c r="M71" s="20">
        <v>89505.059196611037</v>
      </c>
      <c r="N71" s="20">
        <v>59866.796146808359</v>
      </c>
      <c r="O71" s="20">
        <v>71729.910205279477</v>
      </c>
      <c r="P71" s="20">
        <v>0</v>
      </c>
      <c r="Q71" s="20">
        <v>0</v>
      </c>
      <c r="R71" s="20"/>
      <c r="S71" s="20">
        <v>77625.750694703253</v>
      </c>
      <c r="T71" s="20">
        <v>60676.224767295193</v>
      </c>
      <c r="U71" s="20">
        <v>198865.26949970951</v>
      </c>
      <c r="V71" s="20">
        <v>110891.27068881014</v>
      </c>
      <c r="W71" s="20">
        <v>110891.27068881014</v>
      </c>
      <c r="X71" s="20">
        <v>110891.27068881014</v>
      </c>
      <c r="Y71" s="20">
        <v>110891.27068881014</v>
      </c>
      <c r="Z71" s="20">
        <v>277228.17672202532</v>
      </c>
      <c r="AA71" s="20"/>
      <c r="AB71" s="20">
        <v>0</v>
      </c>
      <c r="AC71" s="20">
        <v>0</v>
      </c>
      <c r="AD71" s="20">
        <v>0</v>
      </c>
      <c r="AE71" s="20">
        <v>0</v>
      </c>
      <c r="AF71" s="20">
        <v>332673.8120664304</v>
      </c>
      <c r="AG71" s="20">
        <v>100233.47308369415</v>
      </c>
      <c r="AH71" s="20">
        <v>443565.08275524055</v>
      </c>
      <c r="AI71" s="20">
        <v>133644.63077825887</v>
      </c>
      <c r="AJ71" s="20">
        <v>443565.08275524055</v>
      </c>
      <c r="AK71" s="20">
        <v>443565.08275524055</v>
      </c>
      <c r="AL71" s="20">
        <v>443565.08275524055</v>
      </c>
      <c r="AM71" s="20">
        <v>554456.35344405065</v>
      </c>
      <c r="AN71" s="20">
        <v>443565.08275524055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/>
      <c r="AX71" s="20">
        <v>0</v>
      </c>
      <c r="AY71" s="20">
        <v>55445.635344405069</v>
      </c>
      <c r="AZ71" s="20">
        <v>221782.54137762028</v>
      </c>
      <c r="BA71" s="20">
        <v>887130.16551048111</v>
      </c>
      <c r="BB71" s="20">
        <v>133644.63077825887</v>
      </c>
      <c r="BC71" s="20">
        <v>0</v>
      </c>
      <c r="BD71" s="20">
        <v>0</v>
      </c>
      <c r="BE71" s="20">
        <v>443565.08275524055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/>
      <c r="BM71" s="20">
        <v>0</v>
      </c>
      <c r="BN71" s="20">
        <v>0</v>
      </c>
      <c r="BO71" s="20">
        <v>0</v>
      </c>
      <c r="BP71" s="20">
        <v>15575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/>
      <c r="CM71" s="20">
        <v>0</v>
      </c>
      <c r="CN71" s="20">
        <v>0</v>
      </c>
      <c r="CO71" s="20">
        <v>111843.51999999999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34377.294520547948</v>
      </c>
      <c r="CV71" s="20">
        <v>0</v>
      </c>
      <c r="CW71" s="20"/>
      <c r="CX71" s="20">
        <v>0</v>
      </c>
      <c r="CY71" s="20">
        <v>0</v>
      </c>
      <c r="CZ71" s="20">
        <v>0</v>
      </c>
      <c r="DA71" s="20">
        <v>0</v>
      </c>
      <c r="DB71" s="20">
        <v>65100</v>
      </c>
      <c r="DC71" s="20">
        <v>111187.72103301248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/>
      <c r="DJ71" s="20">
        <v>5600.0001890584826</v>
      </c>
      <c r="DK71" s="22">
        <v>0</v>
      </c>
      <c r="DL71" s="20">
        <v>0</v>
      </c>
      <c r="DM71" s="20">
        <v>0</v>
      </c>
      <c r="DN71" s="20">
        <v>7249753.1651222762</v>
      </c>
      <c r="DO71" s="20">
        <f t="shared" si="32"/>
        <v>5037999.3442055034</v>
      </c>
      <c r="DP71" s="21">
        <v>87869</v>
      </c>
      <c r="DQ71" s="20">
        <f t="shared" si="33"/>
        <v>0</v>
      </c>
      <c r="DR71" s="20">
        <f t="shared" si="34"/>
        <v>5600.0001890584826</v>
      </c>
      <c r="DS71" s="20">
        <f t="shared" si="44"/>
        <v>82268.999810941517</v>
      </c>
      <c r="DT71" s="23">
        <f t="shared" si="45"/>
        <v>0.93626876157622729</v>
      </c>
      <c r="DU71" s="20">
        <f t="shared" si="35"/>
        <v>5292897.5893562697</v>
      </c>
      <c r="DV71" s="20">
        <f t="shared" si="36"/>
        <v>1298002.9730107654</v>
      </c>
      <c r="DW71" s="20">
        <f t="shared" si="37"/>
        <v>443565.08275524055</v>
      </c>
      <c r="DX71" s="20">
        <f t="shared" si="38"/>
        <v>15575</v>
      </c>
      <c r="DY71" s="20">
        <f t="shared" si="39"/>
        <v>0</v>
      </c>
      <c r="DZ71" s="20">
        <f t="shared" si="40"/>
        <v>0</v>
      </c>
      <c r="EA71" s="20">
        <f t="shared" si="41"/>
        <v>0</v>
      </c>
      <c r="EB71" s="20">
        <f t="shared" si="42"/>
        <v>111843.51999999999</v>
      </c>
      <c r="EC71" s="20">
        <f t="shared" si="46"/>
        <v>82268.999810941517</v>
      </c>
      <c r="ED71" s="20">
        <f t="shared" si="47"/>
        <v>0</v>
      </c>
      <c r="EE71" s="20">
        <f t="shared" si="47"/>
        <v>5600.0001890584826</v>
      </c>
      <c r="EF71" s="20">
        <f t="shared" si="48"/>
        <v>87869</v>
      </c>
      <c r="EG71" s="23">
        <f t="shared" si="49"/>
        <v>0.93626876157622729</v>
      </c>
      <c r="EH71" s="20">
        <f t="shared" si="50"/>
        <v>7249753.1651222752</v>
      </c>
    </row>
    <row r="72" spans="1:138" x14ac:dyDescent="0.25">
      <c r="A72" s="18">
        <v>288</v>
      </c>
      <c r="B72" t="s">
        <v>212</v>
      </c>
      <c r="C72" t="s">
        <v>135</v>
      </c>
      <c r="D72">
        <v>7</v>
      </c>
      <c r="E72">
        <v>344</v>
      </c>
      <c r="F72" s="19">
        <f t="shared" si="43"/>
        <v>0.75290697674418605</v>
      </c>
      <c r="G72">
        <v>259</v>
      </c>
      <c r="H72" s="20">
        <v>191050.75104188372</v>
      </c>
      <c r="I72" s="20">
        <v>110891.27068881014</v>
      </c>
      <c r="J72" s="20">
        <v>137623.27429498945</v>
      </c>
      <c r="K72" s="20">
        <v>0</v>
      </c>
      <c r="L72" s="20">
        <v>0</v>
      </c>
      <c r="M72" s="20">
        <v>89505.059196611037</v>
      </c>
      <c r="N72" s="20">
        <v>59866.796146808359</v>
      </c>
      <c r="O72" s="20">
        <v>0</v>
      </c>
      <c r="P72" s="20">
        <v>0</v>
      </c>
      <c r="Q72" s="20">
        <v>0</v>
      </c>
      <c r="R72" s="20"/>
      <c r="S72" s="20">
        <v>77625.750694703253</v>
      </c>
      <c r="T72" s="20">
        <v>60676.224767295193</v>
      </c>
      <c r="U72" s="20">
        <v>99432.634749854755</v>
      </c>
      <c r="V72" s="20">
        <v>110891.27068881014</v>
      </c>
      <c r="W72" s="20">
        <v>110891.27068881014</v>
      </c>
      <c r="X72" s="20">
        <v>110891.27068881014</v>
      </c>
      <c r="Y72" s="20">
        <v>110891.27068881014</v>
      </c>
      <c r="Z72" s="20">
        <f>110891.27068881-AA72</f>
        <v>-1.4551915228366852E-10</v>
      </c>
      <c r="AA72" s="20">
        <v>110891.27068881014</v>
      </c>
      <c r="AB72" s="20">
        <v>0</v>
      </c>
      <c r="AC72" s="20">
        <v>0</v>
      </c>
      <c r="AD72" s="20">
        <v>665347.6241328608</v>
      </c>
      <c r="AE72" s="20">
        <v>200466.94616738829</v>
      </c>
      <c r="AF72" s="20">
        <v>0</v>
      </c>
      <c r="AG72" s="20">
        <v>0</v>
      </c>
      <c r="AH72" s="20">
        <v>221782.54137762028</v>
      </c>
      <c r="AI72" s="20">
        <v>66822.315389129435</v>
      </c>
      <c r="AJ72" s="20">
        <v>221782.54137762028</v>
      </c>
      <c r="AK72" s="20">
        <v>221782.54137762028</v>
      </c>
      <c r="AL72" s="20">
        <v>221782.54137762028</v>
      </c>
      <c r="AM72" s="20">
        <v>221782.54137762028</v>
      </c>
      <c r="AN72" s="20">
        <v>221782.54137762028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/>
      <c r="AX72" s="20">
        <v>0</v>
      </c>
      <c r="AY72" s="20">
        <v>110891.27068881014</v>
      </c>
      <c r="AZ72" s="20">
        <v>110891.27068881014</v>
      </c>
      <c r="BA72" s="20">
        <v>554456.35344405065</v>
      </c>
      <c r="BB72" s="20">
        <v>33411.157694564718</v>
      </c>
      <c r="BC72" s="20">
        <v>0</v>
      </c>
      <c r="BD72" s="20">
        <v>0</v>
      </c>
      <c r="BE72" s="20">
        <v>166336.9060332152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/>
      <c r="BM72" s="20">
        <v>0</v>
      </c>
      <c r="BN72" s="20">
        <v>148735.01999999999</v>
      </c>
      <c r="BO72" s="20">
        <v>2460.65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  <c r="CD72" s="20">
        <v>0</v>
      </c>
      <c r="CE72" s="20">
        <v>0</v>
      </c>
      <c r="CF72" s="20">
        <v>0</v>
      </c>
      <c r="CG72" s="20">
        <v>0</v>
      </c>
      <c r="CH72" s="20">
        <v>0</v>
      </c>
      <c r="CI72" s="20">
        <v>0</v>
      </c>
      <c r="CJ72" s="20">
        <v>0</v>
      </c>
      <c r="CK72" s="20">
        <v>0</v>
      </c>
      <c r="CL72" s="20"/>
      <c r="CM72" s="20">
        <v>0</v>
      </c>
      <c r="CN72" s="20">
        <v>0</v>
      </c>
      <c r="CO72" s="20">
        <v>55921.759999999995</v>
      </c>
      <c r="CP72" s="20">
        <v>0</v>
      </c>
      <c r="CQ72" s="20">
        <v>0</v>
      </c>
      <c r="CR72" s="20">
        <v>0</v>
      </c>
      <c r="CS72" s="20">
        <v>10360</v>
      </c>
      <c r="CT72" s="20">
        <v>181240</v>
      </c>
      <c r="CU72" s="20">
        <v>20339.7</v>
      </c>
      <c r="CV72" s="20">
        <v>0</v>
      </c>
      <c r="CW72" s="20"/>
      <c r="CX72" s="20">
        <v>0</v>
      </c>
      <c r="CY72" s="20">
        <v>0</v>
      </c>
      <c r="CZ72" s="20">
        <v>0</v>
      </c>
      <c r="DA72" s="20">
        <v>0</v>
      </c>
      <c r="DB72" s="20">
        <v>34400</v>
      </c>
      <c r="DC72" s="20">
        <v>77307.164041225886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/>
      <c r="DJ72" s="20">
        <v>29250.000232458115</v>
      </c>
      <c r="DK72" s="22">
        <v>0</v>
      </c>
      <c r="DL72" s="20">
        <v>0</v>
      </c>
      <c r="DM72" s="20">
        <v>0</v>
      </c>
      <c r="DN72" s="20">
        <v>5180461.5018032417</v>
      </c>
      <c r="DO72" s="20">
        <f t="shared" si="32"/>
        <v>3427881.232120669</v>
      </c>
      <c r="DP72" s="21">
        <v>598898</v>
      </c>
      <c r="DQ72" s="20">
        <f t="shared" si="33"/>
        <v>0</v>
      </c>
      <c r="DR72" s="20">
        <f t="shared" si="34"/>
        <v>331741.27092126827</v>
      </c>
      <c r="DS72" s="20">
        <f t="shared" si="44"/>
        <v>267156.72907873173</v>
      </c>
      <c r="DT72" s="23">
        <f t="shared" si="45"/>
        <v>0.44608051634624213</v>
      </c>
      <c r="DU72" s="20">
        <f t="shared" si="35"/>
        <v>3398459.1132537909</v>
      </c>
      <c r="DV72" s="20">
        <f t="shared" si="36"/>
        <v>809650.05251623562</v>
      </c>
      <c r="DW72" s="20">
        <f t="shared" si="37"/>
        <v>166336.9060332152</v>
      </c>
      <c r="DX72" s="20">
        <f t="shared" si="38"/>
        <v>151195.66999999998</v>
      </c>
      <c r="DY72" s="20">
        <f t="shared" si="39"/>
        <v>0</v>
      </c>
      <c r="DZ72" s="20">
        <f t="shared" si="40"/>
        <v>0</v>
      </c>
      <c r="EA72" s="20">
        <f t="shared" si="41"/>
        <v>0</v>
      </c>
      <c r="EB72" s="20">
        <f t="shared" si="42"/>
        <v>55921.759999999995</v>
      </c>
      <c r="EC72" s="20">
        <f t="shared" si="46"/>
        <v>267156.72907873173</v>
      </c>
      <c r="ED72" s="20">
        <f t="shared" si="47"/>
        <v>0</v>
      </c>
      <c r="EE72" s="20">
        <f t="shared" si="47"/>
        <v>331741.27092126827</v>
      </c>
      <c r="EF72" s="20">
        <f t="shared" si="48"/>
        <v>598898</v>
      </c>
      <c r="EG72" s="23">
        <f t="shared" si="49"/>
        <v>0.44608051634624213</v>
      </c>
      <c r="EH72" s="20">
        <f t="shared" si="50"/>
        <v>5180461.5018032417</v>
      </c>
    </row>
    <row r="73" spans="1:138" x14ac:dyDescent="0.25">
      <c r="A73" s="18">
        <v>1071</v>
      </c>
      <c r="B73" t="s">
        <v>213</v>
      </c>
      <c r="C73" t="s">
        <v>152</v>
      </c>
      <c r="D73">
        <v>4</v>
      </c>
      <c r="E73">
        <v>370</v>
      </c>
      <c r="F73" s="19">
        <f t="shared" si="43"/>
        <v>0.5243243243243243</v>
      </c>
      <c r="G73">
        <v>194</v>
      </c>
      <c r="H73" s="20">
        <v>191050.75104188372</v>
      </c>
      <c r="I73" s="20">
        <v>110891.27068881014</v>
      </c>
      <c r="J73" s="20">
        <v>183497.69905998593</v>
      </c>
      <c r="K73" s="20">
        <v>110891.27068881014</v>
      </c>
      <c r="L73" s="20">
        <v>0</v>
      </c>
      <c r="M73" s="20">
        <v>89505.059196611037</v>
      </c>
      <c r="N73" s="20">
        <v>59866.796146808359</v>
      </c>
      <c r="O73" s="20">
        <v>0</v>
      </c>
      <c r="P73" s="20">
        <v>0</v>
      </c>
      <c r="Q73" s="20">
        <v>0</v>
      </c>
      <c r="R73" s="20"/>
      <c r="S73" s="20">
        <v>77625.750694703253</v>
      </c>
      <c r="T73" s="20">
        <v>60676.224767295193</v>
      </c>
      <c r="U73" s="20">
        <v>99432.634749854755</v>
      </c>
      <c r="V73" s="20">
        <v>110891.27068881014</v>
      </c>
      <c r="W73" s="20">
        <v>0</v>
      </c>
      <c r="X73" s="20">
        <v>0</v>
      </c>
      <c r="Y73" s="20">
        <v>0</v>
      </c>
      <c r="Z73" s="20">
        <v>0</v>
      </c>
      <c r="AA73" s="20"/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931486.67378600524</v>
      </c>
      <c r="AP73" s="20">
        <v>942575.80085488618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/>
      <c r="AX73" s="20">
        <v>0</v>
      </c>
      <c r="AY73" s="20">
        <v>110891.27068881014</v>
      </c>
      <c r="AZ73" s="20">
        <v>110891.27068881014</v>
      </c>
      <c r="BA73" s="20">
        <v>998021.43619929126</v>
      </c>
      <c r="BB73" s="20">
        <v>133644.63077825887</v>
      </c>
      <c r="BC73" s="20">
        <v>48327.936512970991</v>
      </c>
      <c r="BD73" s="20">
        <v>0</v>
      </c>
      <c r="BE73" s="20">
        <v>776238.89482167095</v>
      </c>
      <c r="BF73" s="20">
        <v>33411.157694564718</v>
      </c>
      <c r="BG73" s="20">
        <v>110891.27068881014</v>
      </c>
      <c r="BH73" s="20">
        <v>0</v>
      </c>
      <c r="BI73" s="20">
        <v>0</v>
      </c>
      <c r="BJ73" s="20">
        <v>0</v>
      </c>
      <c r="BK73" s="20">
        <v>0</v>
      </c>
      <c r="BL73" s="20"/>
      <c r="BM73" s="20"/>
      <c r="BN73" s="20">
        <v>58254.12</v>
      </c>
      <c r="BO73" s="20">
        <v>942.08</v>
      </c>
      <c r="BP73" s="20">
        <v>0</v>
      </c>
      <c r="BQ73" s="20">
        <v>0</v>
      </c>
      <c r="BR73" s="20">
        <v>110891.27068881014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0</v>
      </c>
      <c r="CH73" s="20">
        <v>0</v>
      </c>
      <c r="CI73" s="20">
        <v>0</v>
      </c>
      <c r="CJ73" s="20">
        <v>0</v>
      </c>
      <c r="CK73" s="20">
        <v>332673.8120664304</v>
      </c>
      <c r="CL73" s="20"/>
      <c r="CM73" s="20">
        <v>23000</v>
      </c>
      <c r="CN73" s="20">
        <v>5000</v>
      </c>
      <c r="CO73" s="20">
        <v>244045.91999999998</v>
      </c>
      <c r="CP73" s="20">
        <v>100000</v>
      </c>
      <c r="CQ73" s="20">
        <v>0</v>
      </c>
      <c r="CR73" s="20">
        <v>0</v>
      </c>
      <c r="CS73" s="20">
        <v>3880</v>
      </c>
      <c r="CT73" s="20">
        <v>0</v>
      </c>
      <c r="CU73" s="20">
        <v>27605.909090909092</v>
      </c>
      <c r="CV73" s="20">
        <v>0</v>
      </c>
      <c r="CW73" s="20"/>
      <c r="CX73" s="20">
        <v>0</v>
      </c>
      <c r="CY73" s="20">
        <v>0</v>
      </c>
      <c r="CZ73" s="20">
        <v>0</v>
      </c>
      <c r="DA73" s="20">
        <v>0</v>
      </c>
      <c r="DB73" s="20">
        <v>37000</v>
      </c>
      <c r="DC73" s="20">
        <v>93931.813866405559</v>
      </c>
      <c r="DD73" s="20">
        <v>0</v>
      </c>
      <c r="DE73" s="20">
        <v>62500</v>
      </c>
      <c r="DF73" s="20">
        <v>0</v>
      </c>
      <c r="DG73" s="20">
        <v>0</v>
      </c>
      <c r="DH73" s="20">
        <v>0</v>
      </c>
      <c r="DI73" s="20"/>
      <c r="DJ73" s="20">
        <v>22430</v>
      </c>
      <c r="DK73" s="22">
        <v>0</v>
      </c>
      <c r="DL73" s="20">
        <v>0</v>
      </c>
      <c r="DM73" s="20">
        <v>0</v>
      </c>
      <c r="DN73" s="25">
        <v>6412863.9961502068</v>
      </c>
      <c r="DO73" s="20">
        <f t="shared" si="32"/>
        <v>3349868.127176356</v>
      </c>
      <c r="DP73" s="21">
        <v>448595</v>
      </c>
      <c r="DQ73" s="20">
        <f t="shared" si="33"/>
        <v>0</v>
      </c>
      <c r="DR73" s="20">
        <f t="shared" si="34"/>
        <v>26310</v>
      </c>
      <c r="DS73" s="20">
        <f t="shared" si="44"/>
        <v>422285</v>
      </c>
      <c r="DT73" s="23">
        <f t="shared" si="45"/>
        <v>0.94135021567338018</v>
      </c>
      <c r="DU73" s="20">
        <f t="shared" si="35"/>
        <v>3276209.0080770194</v>
      </c>
      <c r="DV73" s="20">
        <f t="shared" si="36"/>
        <v>1401776.5448681414</v>
      </c>
      <c r="DW73" s="20">
        <f t="shared" si="37"/>
        <v>920541.32320504577</v>
      </c>
      <c r="DX73" s="20">
        <f t="shared" si="38"/>
        <v>59196.200000000004</v>
      </c>
      <c r="DY73" s="20">
        <f t="shared" si="39"/>
        <v>62500</v>
      </c>
      <c r="DZ73" s="20">
        <f t="shared" si="40"/>
        <v>0</v>
      </c>
      <c r="EA73" s="20">
        <f t="shared" si="41"/>
        <v>0</v>
      </c>
      <c r="EB73" s="20">
        <f t="shared" si="42"/>
        <v>244045.91999999998</v>
      </c>
      <c r="EC73" s="20">
        <f t="shared" si="46"/>
        <v>422285</v>
      </c>
      <c r="ED73" s="20">
        <f t="shared" si="47"/>
        <v>0</v>
      </c>
      <c r="EE73" s="20">
        <f t="shared" si="47"/>
        <v>26310</v>
      </c>
      <c r="EF73" s="20">
        <f t="shared" si="48"/>
        <v>448595</v>
      </c>
      <c r="EG73" s="23">
        <f t="shared" si="49"/>
        <v>0.94135021567338018</v>
      </c>
      <c r="EH73" s="20">
        <f t="shared" si="50"/>
        <v>6412863.9961502068</v>
      </c>
    </row>
    <row r="74" spans="1:138" x14ac:dyDescent="0.25">
      <c r="A74" s="18">
        <v>290</v>
      </c>
      <c r="B74" t="s">
        <v>214</v>
      </c>
      <c r="C74" t="s">
        <v>135</v>
      </c>
      <c r="D74">
        <v>5</v>
      </c>
      <c r="E74">
        <v>228</v>
      </c>
      <c r="F74" s="19">
        <f t="shared" si="43"/>
        <v>0.66228070175438591</v>
      </c>
      <c r="G74">
        <v>151</v>
      </c>
      <c r="H74" s="20">
        <v>191050.75104188372</v>
      </c>
      <c r="I74" s="20">
        <v>110891.27068881014</v>
      </c>
      <c r="J74" s="20">
        <v>0</v>
      </c>
      <c r="K74" s="20">
        <v>0</v>
      </c>
      <c r="L74" s="20">
        <v>0</v>
      </c>
      <c r="M74" s="20">
        <v>44752.529598305518</v>
      </c>
      <c r="N74" s="20">
        <v>59866.796146808359</v>
      </c>
      <c r="O74" s="20">
        <v>0</v>
      </c>
      <c r="P74" s="20">
        <v>0</v>
      </c>
      <c r="Q74" s="20">
        <v>0</v>
      </c>
      <c r="R74" s="20"/>
      <c r="S74" s="20">
        <v>77625.750694703253</v>
      </c>
      <c r="T74" s="20">
        <v>60676.224767295193</v>
      </c>
      <c r="U74" s="20">
        <v>49716.317374927377</v>
      </c>
      <c r="V74" s="20">
        <v>55445.635344405069</v>
      </c>
      <c r="W74" s="20">
        <v>110891.27068881014</v>
      </c>
      <c r="X74" s="20">
        <v>110891.27068881014</v>
      </c>
      <c r="Y74" s="20">
        <v>110891.27068881014</v>
      </c>
      <c r="Z74" s="20">
        <v>0</v>
      </c>
      <c r="AA74" s="20"/>
      <c r="AB74" s="20">
        <v>110891.27068881014</v>
      </c>
      <c r="AC74" s="20">
        <v>33411.157694564718</v>
      </c>
      <c r="AD74" s="20">
        <v>110891.27068881014</v>
      </c>
      <c r="AE74" s="20">
        <v>33411.157694564718</v>
      </c>
      <c r="AF74" s="20">
        <v>110891.27068881014</v>
      </c>
      <c r="AG74" s="20">
        <v>33411.157694564718</v>
      </c>
      <c r="AH74" s="20">
        <v>221782.54137762028</v>
      </c>
      <c r="AI74" s="20">
        <v>66822.315389129435</v>
      </c>
      <c r="AJ74" s="20">
        <v>221782.54137762028</v>
      </c>
      <c r="AK74" s="20">
        <v>110891.27068881014</v>
      </c>
      <c r="AL74" s="20">
        <v>110891.27068881014</v>
      </c>
      <c r="AM74" s="20">
        <v>221782.54137762028</v>
      </c>
      <c r="AN74" s="20">
        <v>221782.54137762028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/>
      <c r="AX74" s="20">
        <v>0</v>
      </c>
      <c r="AY74" s="20">
        <v>110891.27068881014</v>
      </c>
      <c r="AZ74" s="20">
        <v>110891.27068881014</v>
      </c>
      <c r="BA74" s="20">
        <v>776238.89482167095</v>
      </c>
      <c r="BB74" s="20">
        <v>133644.63077825887</v>
      </c>
      <c r="BC74" s="20">
        <v>0</v>
      </c>
      <c r="BD74" s="20">
        <v>0</v>
      </c>
      <c r="BE74" s="20">
        <v>221782.54137762028</v>
      </c>
      <c r="BF74" s="20">
        <v>0</v>
      </c>
      <c r="BG74" s="20">
        <v>0</v>
      </c>
      <c r="BH74" s="21">
        <f>28640-7160</f>
        <v>21480</v>
      </c>
      <c r="BI74" s="21">
        <f>28640-7160</f>
        <v>21480</v>
      </c>
      <c r="BJ74" s="20"/>
      <c r="BK74" s="20">
        <v>0</v>
      </c>
      <c r="BL74" s="20"/>
      <c r="BM74" s="20">
        <v>25060</v>
      </c>
      <c r="BN74" s="20">
        <v>97167.87</v>
      </c>
      <c r="BO74" s="20">
        <v>1607.53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/>
      <c r="CM74" s="20">
        <v>0</v>
      </c>
      <c r="CN74" s="20">
        <v>0</v>
      </c>
      <c r="CO74" s="20">
        <v>55921.759999999995</v>
      </c>
      <c r="CP74" s="20">
        <v>0</v>
      </c>
      <c r="CQ74" s="20">
        <v>0</v>
      </c>
      <c r="CR74" s="20">
        <v>0</v>
      </c>
      <c r="CS74" s="20">
        <v>3020</v>
      </c>
      <c r="CT74" s="20">
        <v>35280</v>
      </c>
      <c r="CU74" s="20">
        <v>13467.076517150395</v>
      </c>
      <c r="CV74" s="20">
        <v>0</v>
      </c>
      <c r="CW74" s="20"/>
      <c r="CX74" s="20">
        <v>0</v>
      </c>
      <c r="CY74" s="20">
        <v>0</v>
      </c>
      <c r="CZ74" s="20">
        <v>0</v>
      </c>
      <c r="DA74" s="20">
        <v>0</v>
      </c>
      <c r="DB74" s="20">
        <v>22800</v>
      </c>
      <c r="DC74" s="20">
        <v>64079.127056448124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/>
      <c r="DJ74" s="20">
        <v>17550.000464916229</v>
      </c>
      <c r="DK74" s="22">
        <v>0</v>
      </c>
      <c r="DL74" s="20">
        <v>0</v>
      </c>
      <c r="DM74" s="20">
        <v>0</v>
      </c>
      <c r="DN74" s="20">
        <v>4323703.3675446101</v>
      </c>
      <c r="DO74" s="20">
        <f t="shared" si="32"/>
        <v>2503669.3058875971</v>
      </c>
      <c r="DP74" s="21">
        <v>349164</v>
      </c>
      <c r="DQ74" s="20">
        <f t="shared" si="33"/>
        <v>42960</v>
      </c>
      <c r="DR74" s="20">
        <f t="shared" si="34"/>
        <v>55850.000464916229</v>
      </c>
      <c r="DS74" s="20">
        <f t="shared" si="44"/>
        <v>250353.99953508377</v>
      </c>
      <c r="DT74" s="23">
        <f t="shared" si="45"/>
        <v>0.71700977058082671</v>
      </c>
      <c r="DU74" s="20">
        <f t="shared" si="35"/>
        <v>2441333.5991894389</v>
      </c>
      <c r="DV74" s="20">
        <f t="shared" si="36"/>
        <v>1131666.06697755</v>
      </c>
      <c r="DW74" s="20">
        <f t="shared" si="37"/>
        <v>221782.54137762028</v>
      </c>
      <c r="DX74" s="20">
        <f t="shared" si="38"/>
        <v>123835.4</v>
      </c>
      <c r="DY74" s="20">
        <f t="shared" si="39"/>
        <v>0</v>
      </c>
      <c r="DZ74" s="20">
        <f t="shared" si="40"/>
        <v>0</v>
      </c>
      <c r="EA74" s="20">
        <f t="shared" si="41"/>
        <v>0</v>
      </c>
      <c r="EB74" s="20">
        <f t="shared" si="42"/>
        <v>55921.759999999995</v>
      </c>
      <c r="EC74" s="20">
        <f t="shared" si="46"/>
        <v>250353.99953508377</v>
      </c>
      <c r="ED74" s="20">
        <f t="shared" si="47"/>
        <v>42960</v>
      </c>
      <c r="EE74" s="20">
        <f t="shared" si="47"/>
        <v>55850.000464916229</v>
      </c>
      <c r="EF74" s="20">
        <f t="shared" si="48"/>
        <v>349164</v>
      </c>
      <c r="EG74" s="23">
        <f t="shared" si="49"/>
        <v>0.71700977058082671</v>
      </c>
      <c r="EH74" s="20">
        <f t="shared" si="50"/>
        <v>4323703.3675446091</v>
      </c>
    </row>
    <row r="75" spans="1:138" x14ac:dyDescent="0.25">
      <c r="A75" s="18">
        <v>291</v>
      </c>
      <c r="B75" t="s">
        <v>215</v>
      </c>
      <c r="C75" t="s">
        <v>135</v>
      </c>
      <c r="D75">
        <v>8</v>
      </c>
      <c r="E75">
        <v>452</v>
      </c>
      <c r="F75" s="19">
        <f t="shared" si="43"/>
        <v>0.71017699115044253</v>
      </c>
      <c r="G75">
        <v>321</v>
      </c>
      <c r="H75" s="20">
        <v>191050.75104188372</v>
      </c>
      <c r="I75" s="20">
        <v>110891.27068881014</v>
      </c>
      <c r="J75" s="20">
        <v>168206.22413832045</v>
      </c>
      <c r="K75" s="20">
        <v>0</v>
      </c>
      <c r="L75" s="20">
        <v>0</v>
      </c>
      <c r="M75" s="20">
        <v>89505.059196611037</v>
      </c>
      <c r="N75" s="20">
        <v>59866.796146808359</v>
      </c>
      <c r="O75" s="20">
        <v>49314.313266129648</v>
      </c>
      <c r="P75" s="20">
        <v>0</v>
      </c>
      <c r="Q75" s="20">
        <v>0</v>
      </c>
      <c r="R75" s="20"/>
      <c r="S75" s="20">
        <v>77625.750694703253</v>
      </c>
      <c r="T75" s="20">
        <v>60676.224767295193</v>
      </c>
      <c r="U75" s="20">
        <v>99432.634749854755</v>
      </c>
      <c r="V75" s="20">
        <v>110891.27068881014</v>
      </c>
      <c r="W75" s="20">
        <v>110891.27068881014</v>
      </c>
      <c r="X75" s="20">
        <v>110891.27068881014</v>
      </c>
      <c r="Y75" s="20">
        <v>110891.27068881014</v>
      </c>
      <c r="Z75" s="20">
        <v>166336.9060332152</v>
      </c>
      <c r="AA75" s="20"/>
      <c r="AB75" s="20">
        <v>332673.8120664304</v>
      </c>
      <c r="AC75" s="20">
        <v>100233.47308369415</v>
      </c>
      <c r="AD75" s="20">
        <v>0</v>
      </c>
      <c r="AE75" s="20">
        <v>0</v>
      </c>
      <c r="AF75" s="20">
        <v>332673.8120664304</v>
      </c>
      <c r="AG75" s="20">
        <v>100233.47308369415</v>
      </c>
      <c r="AH75" s="20">
        <v>332673.8120664304</v>
      </c>
      <c r="AI75" s="20">
        <v>100233.47308369415</v>
      </c>
      <c r="AJ75" s="20">
        <v>332673.8120664304</v>
      </c>
      <c r="AK75" s="20">
        <v>332673.8120664304</v>
      </c>
      <c r="AL75" s="20">
        <v>332673.8120664304</v>
      </c>
      <c r="AM75" s="20">
        <v>332673.8120664304</v>
      </c>
      <c r="AN75" s="20">
        <v>332673.8120664304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/>
      <c r="AX75" s="20">
        <v>0</v>
      </c>
      <c r="AY75" s="20">
        <v>110891.27068881014</v>
      </c>
      <c r="AZ75" s="20">
        <v>110891.27068881014</v>
      </c>
      <c r="BA75" s="20">
        <v>665347.6241328608</v>
      </c>
      <c r="BB75" s="20">
        <v>200466.94616738829</v>
      </c>
      <c r="BC75" s="20">
        <v>0</v>
      </c>
      <c r="BD75" s="20">
        <v>0</v>
      </c>
      <c r="BE75" s="20">
        <v>20162.049216147298</v>
      </c>
      <c r="BF75" s="20">
        <v>0</v>
      </c>
      <c r="BG75" s="20">
        <v>0</v>
      </c>
      <c r="BH75" s="21">
        <f>35800-14320</f>
        <v>21480</v>
      </c>
      <c r="BI75" s="21">
        <f>35800-14320</f>
        <v>21480</v>
      </c>
      <c r="BJ75" s="20">
        <v>10740</v>
      </c>
      <c r="BK75" s="20">
        <v>0</v>
      </c>
      <c r="BL75" s="20"/>
      <c r="BM75" s="20">
        <v>28640</v>
      </c>
      <c r="BN75" s="20">
        <v>181550.49</v>
      </c>
      <c r="BO75" s="20">
        <v>3003.55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0</v>
      </c>
      <c r="CH75" s="20">
        <v>0</v>
      </c>
      <c r="CI75" s="20">
        <v>0</v>
      </c>
      <c r="CJ75" s="20">
        <v>0</v>
      </c>
      <c r="CK75" s="20">
        <v>0</v>
      </c>
      <c r="CL75" s="20"/>
      <c r="CM75" s="20">
        <v>0</v>
      </c>
      <c r="CN75" s="20">
        <v>0</v>
      </c>
      <c r="CO75" s="20">
        <v>111843.51999999999</v>
      </c>
      <c r="CP75" s="20">
        <v>0</v>
      </c>
      <c r="CQ75" s="20">
        <v>0</v>
      </c>
      <c r="CR75" s="20">
        <v>0</v>
      </c>
      <c r="CS75" s="20">
        <v>6420</v>
      </c>
      <c r="CT75" s="20">
        <v>166040</v>
      </c>
      <c r="CU75" s="20">
        <v>24700.463414634149</v>
      </c>
      <c r="CV75" s="20">
        <v>0</v>
      </c>
      <c r="CW75" s="20"/>
      <c r="CX75" s="20">
        <v>0</v>
      </c>
      <c r="CY75" s="20">
        <v>0</v>
      </c>
      <c r="CZ75" s="20">
        <v>0</v>
      </c>
      <c r="DA75" s="20">
        <v>0</v>
      </c>
      <c r="DB75" s="20">
        <v>45200</v>
      </c>
      <c r="DC75" s="20">
        <v>92613.013551502168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/>
      <c r="DJ75" s="20">
        <v>28599.999845027924</v>
      </c>
      <c r="DK75" s="22">
        <v>0</v>
      </c>
      <c r="DL75" s="20">
        <v>0</v>
      </c>
      <c r="DM75" s="20">
        <v>0</v>
      </c>
      <c r="DN75" s="20">
        <v>6328632.1269665789</v>
      </c>
      <c r="DO75" s="20">
        <f t="shared" si="32"/>
        <v>4403340.7960156808</v>
      </c>
      <c r="DP75" s="21">
        <v>742264</v>
      </c>
      <c r="DQ75" s="20">
        <f t="shared" si="33"/>
        <v>53700</v>
      </c>
      <c r="DR75" s="20">
        <f t="shared" si="34"/>
        <v>201059.99984502792</v>
      </c>
      <c r="DS75" s="20">
        <f t="shared" si="44"/>
        <v>487504.00015497208</v>
      </c>
      <c r="DT75" s="23">
        <f t="shared" si="45"/>
        <v>0.65677979823212773</v>
      </c>
      <c r="DU75" s="20">
        <f t="shared" si="35"/>
        <v>4153571.4060725616</v>
      </c>
      <c r="DV75" s="20">
        <f t="shared" si="36"/>
        <v>1087597.1116778695</v>
      </c>
      <c r="DW75" s="20">
        <f t="shared" si="37"/>
        <v>20162.049216147298</v>
      </c>
      <c r="DX75" s="20">
        <f t="shared" si="38"/>
        <v>213194.03999999998</v>
      </c>
      <c r="DY75" s="20">
        <f t="shared" si="39"/>
        <v>0</v>
      </c>
      <c r="DZ75" s="20">
        <f t="shared" si="40"/>
        <v>0</v>
      </c>
      <c r="EA75" s="20">
        <f t="shared" si="41"/>
        <v>0</v>
      </c>
      <c r="EB75" s="20">
        <f t="shared" si="42"/>
        <v>111843.51999999999</v>
      </c>
      <c r="EC75" s="20">
        <f t="shared" si="46"/>
        <v>487504.00015497208</v>
      </c>
      <c r="ED75" s="20">
        <f t="shared" si="47"/>
        <v>53700</v>
      </c>
      <c r="EE75" s="20">
        <f t="shared" si="47"/>
        <v>201059.99984502792</v>
      </c>
      <c r="EF75" s="20">
        <f t="shared" si="48"/>
        <v>742264</v>
      </c>
      <c r="EG75" s="23">
        <f t="shared" si="49"/>
        <v>0.65677979823212773</v>
      </c>
      <c r="EH75" s="20">
        <f t="shared" si="50"/>
        <v>6328632.126966578</v>
      </c>
    </row>
    <row r="76" spans="1:138" x14ac:dyDescent="0.25">
      <c r="A76" s="18">
        <v>292</v>
      </c>
      <c r="B76" t="s">
        <v>216</v>
      </c>
      <c r="C76" t="s">
        <v>150</v>
      </c>
      <c r="D76">
        <v>3</v>
      </c>
      <c r="E76">
        <v>761</v>
      </c>
      <c r="F76" s="19">
        <f t="shared" si="43"/>
        <v>0.11300919842312747</v>
      </c>
      <c r="G76">
        <v>86</v>
      </c>
      <c r="H76" s="20">
        <v>191050.75104188372</v>
      </c>
      <c r="I76" s="20">
        <v>221782.54137762028</v>
      </c>
      <c r="J76" s="20">
        <v>321120.9733549754</v>
      </c>
      <c r="K76" s="20">
        <v>110891.27068881014</v>
      </c>
      <c r="L76" s="20">
        <v>0</v>
      </c>
      <c r="M76" s="20">
        <v>89505.059196611037</v>
      </c>
      <c r="N76" s="20">
        <v>59866.796146808359</v>
      </c>
      <c r="O76" s="20">
        <v>85179.268368769379</v>
      </c>
      <c r="P76" s="20">
        <v>0</v>
      </c>
      <c r="Q76" s="20">
        <v>0</v>
      </c>
      <c r="R76" s="20"/>
      <c r="S76" s="20">
        <v>77625.750694703253</v>
      </c>
      <c r="T76" s="20">
        <v>60676.224767295193</v>
      </c>
      <c r="U76" s="20">
        <v>198865.26949970951</v>
      </c>
      <c r="V76" s="20">
        <v>221782.54137762028</v>
      </c>
      <c r="W76" s="20">
        <v>110891.27068881014</v>
      </c>
      <c r="X76" s="20">
        <v>110891.27068881014</v>
      </c>
      <c r="Y76" s="20">
        <v>110891.27068881014</v>
      </c>
      <c r="Z76" s="20">
        <v>388119.44741083548</v>
      </c>
      <c r="AA76" s="20"/>
      <c r="AB76" s="20">
        <v>0</v>
      </c>
      <c r="AC76" s="20">
        <v>0</v>
      </c>
      <c r="AD76" s="20">
        <v>0</v>
      </c>
      <c r="AE76" s="20">
        <v>0</v>
      </c>
      <c r="AF76" s="20">
        <v>221782.54137762028</v>
      </c>
      <c r="AG76" s="20">
        <v>66822.315389129435</v>
      </c>
      <c r="AH76" s="20">
        <v>443565.08275524055</v>
      </c>
      <c r="AI76" s="20">
        <v>133644.63077825887</v>
      </c>
      <c r="AJ76" s="20">
        <v>443565.08275524055</v>
      </c>
      <c r="AK76" s="20">
        <v>443565.08275524055</v>
      </c>
      <c r="AL76" s="20">
        <v>443565.08275524055</v>
      </c>
      <c r="AM76" s="20">
        <v>332673.8120664304</v>
      </c>
      <c r="AN76" s="20">
        <v>443565.08275524055</v>
      </c>
      <c r="AO76" s="20">
        <v>432475.95568635955</v>
      </c>
      <c r="AP76" s="20">
        <v>454654.2098241215</v>
      </c>
      <c r="AQ76" s="20">
        <v>399208.57447971648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/>
      <c r="AX76" s="20">
        <v>0</v>
      </c>
      <c r="AY76" s="20">
        <v>221782.54137762028</v>
      </c>
      <c r="AZ76" s="20">
        <v>221782.54137762028</v>
      </c>
      <c r="BA76" s="20">
        <v>887130.16551048111</v>
      </c>
      <c r="BB76" s="20">
        <v>33411.157694564718</v>
      </c>
      <c r="BC76" s="20">
        <v>0</v>
      </c>
      <c r="BD76" s="20">
        <v>0</v>
      </c>
      <c r="BE76" s="20">
        <v>1219803.9775769114</v>
      </c>
      <c r="BF76" s="20">
        <v>0</v>
      </c>
      <c r="BG76" s="20">
        <v>221782.54137762028</v>
      </c>
      <c r="BH76" s="20">
        <v>0</v>
      </c>
      <c r="BI76" s="20">
        <v>0</v>
      </c>
      <c r="BJ76" s="20">
        <v>0</v>
      </c>
      <c r="BK76" s="20">
        <v>0</v>
      </c>
      <c r="BL76" s="20"/>
      <c r="BM76" s="20">
        <v>0</v>
      </c>
      <c r="BN76" s="20">
        <v>0</v>
      </c>
      <c r="BO76" s="20">
        <v>0</v>
      </c>
      <c r="BP76" s="20">
        <v>18275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D76" s="20">
        <v>0</v>
      </c>
      <c r="CE76" s="20">
        <v>0</v>
      </c>
      <c r="CF76" s="20">
        <v>0</v>
      </c>
      <c r="CG76" s="20">
        <v>0</v>
      </c>
      <c r="CH76" s="20">
        <v>0</v>
      </c>
      <c r="CI76" s="20">
        <v>0</v>
      </c>
      <c r="CJ76" s="20">
        <v>0</v>
      </c>
      <c r="CK76" s="20">
        <v>221782.54137762028</v>
      </c>
      <c r="CL76" s="20"/>
      <c r="CM76" s="20">
        <v>23000</v>
      </c>
      <c r="CN76" s="20">
        <v>5000</v>
      </c>
      <c r="CO76" s="20">
        <v>167765.27999999997</v>
      </c>
      <c r="CP76" s="20">
        <v>100000</v>
      </c>
      <c r="CQ76" s="20">
        <v>0</v>
      </c>
      <c r="CR76" s="20">
        <v>0</v>
      </c>
      <c r="CS76" s="20">
        <v>0</v>
      </c>
      <c r="CT76" s="20">
        <v>0</v>
      </c>
      <c r="CU76" s="20">
        <v>43693.308474576275</v>
      </c>
      <c r="CV76" s="20">
        <v>0</v>
      </c>
      <c r="CW76" s="20"/>
      <c r="CX76" s="20">
        <v>0</v>
      </c>
      <c r="CY76" s="20">
        <v>0</v>
      </c>
      <c r="CZ76" s="20">
        <v>0</v>
      </c>
      <c r="DA76" s="20">
        <v>0</v>
      </c>
      <c r="DB76" s="20">
        <v>76100</v>
      </c>
      <c r="DC76" s="20">
        <v>156905.81227316384</v>
      </c>
      <c r="DD76" s="20">
        <v>0</v>
      </c>
      <c r="DE76" s="20">
        <v>538870</v>
      </c>
      <c r="DF76" s="20">
        <v>0</v>
      </c>
      <c r="DG76" s="20">
        <v>0</v>
      </c>
      <c r="DH76" s="20">
        <v>0</v>
      </c>
      <c r="DI76" s="20"/>
      <c r="DJ76" s="20">
        <v>7175.0000436790287</v>
      </c>
      <c r="DK76" s="22">
        <v>0</v>
      </c>
      <c r="DL76" s="20">
        <v>0</v>
      </c>
      <c r="DM76" s="20">
        <v>0</v>
      </c>
      <c r="DN76" s="20">
        <v>10782487.0264538</v>
      </c>
      <c r="DO76" s="20">
        <f t="shared" si="32"/>
        <v>6907541.5765335644</v>
      </c>
      <c r="DP76" s="21">
        <v>198862</v>
      </c>
      <c r="DQ76" s="20">
        <f t="shared" si="33"/>
        <v>0</v>
      </c>
      <c r="DR76" s="20">
        <f t="shared" si="34"/>
        <v>7175.0000436790287</v>
      </c>
      <c r="DS76" s="20">
        <f t="shared" si="44"/>
        <v>191686.99995632097</v>
      </c>
      <c r="DT76" s="23">
        <f t="shared" si="45"/>
        <v>0.963919702891055</v>
      </c>
      <c r="DU76" s="20">
        <f t="shared" si="35"/>
        <v>7053021.8215389512</v>
      </c>
      <c r="DV76" s="20">
        <f t="shared" si="36"/>
        <v>1364106.4059602863</v>
      </c>
      <c r="DW76" s="20">
        <f t="shared" si="37"/>
        <v>1441586.5189545318</v>
      </c>
      <c r="DX76" s="20">
        <f t="shared" si="38"/>
        <v>18275</v>
      </c>
      <c r="DY76" s="20">
        <f t="shared" si="39"/>
        <v>538870</v>
      </c>
      <c r="DZ76" s="20">
        <f t="shared" si="40"/>
        <v>0</v>
      </c>
      <c r="EA76" s="20">
        <f t="shared" si="41"/>
        <v>0</v>
      </c>
      <c r="EB76" s="20">
        <f t="shared" si="42"/>
        <v>167765.27999999997</v>
      </c>
      <c r="EC76" s="20">
        <f t="shared" si="46"/>
        <v>191686.99995632097</v>
      </c>
      <c r="ED76" s="20">
        <f t="shared" si="47"/>
        <v>0</v>
      </c>
      <c r="EE76" s="20">
        <f t="shared" si="47"/>
        <v>7175.0000436790287</v>
      </c>
      <c r="EF76" s="20">
        <f t="shared" si="48"/>
        <v>198862</v>
      </c>
      <c r="EG76" s="23">
        <f t="shared" si="49"/>
        <v>0.963919702891055</v>
      </c>
      <c r="EH76" s="20">
        <f t="shared" si="50"/>
        <v>10782487.026453769</v>
      </c>
    </row>
    <row r="77" spans="1:138" x14ac:dyDescent="0.25">
      <c r="A77" s="18">
        <v>294</v>
      </c>
      <c r="B77" t="s">
        <v>217</v>
      </c>
      <c r="C77" t="s">
        <v>135</v>
      </c>
      <c r="D77">
        <v>8</v>
      </c>
      <c r="E77">
        <v>382</v>
      </c>
      <c r="F77" s="19">
        <f t="shared" si="43"/>
        <v>0.86387434554973819</v>
      </c>
      <c r="G77">
        <v>330</v>
      </c>
      <c r="H77" s="20">
        <v>191050.75104188372</v>
      </c>
      <c r="I77" s="20">
        <v>110891.27068881014</v>
      </c>
      <c r="J77" s="20">
        <v>152914.74921665495</v>
      </c>
      <c r="K77" s="20">
        <v>0</v>
      </c>
      <c r="L77" s="20">
        <v>0</v>
      </c>
      <c r="M77" s="20">
        <v>89505.059196611037</v>
      </c>
      <c r="N77" s="20">
        <v>59866.796146808359</v>
      </c>
      <c r="O77" s="20">
        <v>0</v>
      </c>
      <c r="P77" s="20">
        <v>0</v>
      </c>
      <c r="Q77" s="20">
        <v>0</v>
      </c>
      <c r="R77" s="20"/>
      <c r="S77" s="20">
        <v>77625.750694703253</v>
      </c>
      <c r="T77" s="20">
        <v>60676.224767295193</v>
      </c>
      <c r="U77" s="20">
        <v>99432.634749854755</v>
      </c>
      <c r="V77" s="20">
        <v>110891.27068881014</v>
      </c>
      <c r="W77" s="20">
        <v>110891.27068881014</v>
      </c>
      <c r="X77" s="20">
        <v>110891.27068881014</v>
      </c>
      <c r="Y77" s="20">
        <v>110891.27068881014</v>
      </c>
      <c r="Z77" s="20">
        <v>166336.9060332152</v>
      </c>
      <c r="AA77" s="20"/>
      <c r="AB77" s="20">
        <v>221782.54137762028</v>
      </c>
      <c r="AC77" s="20">
        <v>66822.315389129435</v>
      </c>
      <c r="AD77" s="20">
        <v>0</v>
      </c>
      <c r="AE77" s="20">
        <v>0</v>
      </c>
      <c r="AF77" s="20">
        <v>221782.54137762028</v>
      </c>
      <c r="AG77" s="20">
        <v>66822.315389129435</v>
      </c>
      <c r="AH77" s="20">
        <v>332673.8120664304</v>
      </c>
      <c r="AI77" s="20">
        <v>100233.47308369415</v>
      </c>
      <c r="AJ77" s="20">
        <v>332673.8120664304</v>
      </c>
      <c r="AK77" s="20">
        <v>332673.8120664304</v>
      </c>
      <c r="AL77" s="20">
        <v>332673.8120664304</v>
      </c>
      <c r="AM77" s="20">
        <v>221782.54137762028</v>
      </c>
      <c r="AN77" s="20">
        <v>332673.8120664304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/>
      <c r="AX77" s="20">
        <v>0</v>
      </c>
      <c r="AY77" s="20">
        <v>110891.27068881014</v>
      </c>
      <c r="AZ77" s="20">
        <v>110891.27068881014</v>
      </c>
      <c r="BA77" s="20">
        <v>998021.43619929126</v>
      </c>
      <c r="BB77" s="20">
        <v>300700.41925108247</v>
      </c>
      <c r="BC77" s="20">
        <v>0</v>
      </c>
      <c r="BD77" s="20">
        <v>0</v>
      </c>
      <c r="BE77" s="20">
        <v>5040.5123040368244</v>
      </c>
      <c r="BF77" s="20">
        <v>0</v>
      </c>
      <c r="BG77" s="20">
        <v>0</v>
      </c>
      <c r="BH77" s="21">
        <f>57280-21480</f>
        <v>35800</v>
      </c>
      <c r="BI77" s="21">
        <f>57280-21480</f>
        <v>35800</v>
      </c>
      <c r="BJ77" s="20"/>
      <c r="BK77" s="20">
        <v>0</v>
      </c>
      <c r="BL77" s="20"/>
      <c r="BM77" s="20">
        <v>53700</v>
      </c>
      <c r="BN77" s="20">
        <v>167912.89</v>
      </c>
      <c r="BO77" s="20">
        <v>2777.93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110891.27068881014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110891.27068881014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/>
      <c r="CM77" s="20">
        <v>0</v>
      </c>
      <c r="CN77" s="20">
        <v>0</v>
      </c>
      <c r="CO77" s="20">
        <v>111843.51999999999</v>
      </c>
      <c r="CP77" s="20">
        <v>0</v>
      </c>
      <c r="CQ77" s="20">
        <v>0</v>
      </c>
      <c r="CR77" s="20">
        <v>75000</v>
      </c>
      <c r="CS77" s="20">
        <v>13200</v>
      </c>
      <c r="CT77" s="20">
        <v>0</v>
      </c>
      <c r="CU77" s="20">
        <v>21312.072289156626</v>
      </c>
      <c r="CV77" s="20">
        <v>0</v>
      </c>
      <c r="CW77" s="20"/>
      <c r="CX77" s="20">
        <v>0</v>
      </c>
      <c r="CY77" s="20">
        <v>0</v>
      </c>
      <c r="CZ77" s="20">
        <v>0</v>
      </c>
      <c r="DA77" s="20">
        <v>0</v>
      </c>
      <c r="DB77" s="20">
        <v>38200</v>
      </c>
      <c r="DC77" s="20">
        <v>89194.079256276178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/>
      <c r="DJ77" s="20">
        <v>27950.00001937151</v>
      </c>
      <c r="DK77" s="22">
        <v>0</v>
      </c>
      <c r="DL77" s="20">
        <v>0</v>
      </c>
      <c r="DM77" s="20">
        <v>0</v>
      </c>
      <c r="DN77" s="20">
        <v>6434477.955692498</v>
      </c>
      <c r="DO77" s="20">
        <f t="shared" si="32"/>
        <v>3925431.5549516217</v>
      </c>
      <c r="DP77" s="21">
        <v>763075</v>
      </c>
      <c r="DQ77" s="20">
        <f t="shared" si="33"/>
        <v>71600</v>
      </c>
      <c r="DR77" s="20">
        <f t="shared" si="34"/>
        <v>262932.54139699182</v>
      </c>
      <c r="DS77" s="20">
        <f t="shared" si="44"/>
        <v>428542.45860300818</v>
      </c>
      <c r="DT77" s="23">
        <f t="shared" si="45"/>
        <v>0.56159939534516023</v>
      </c>
      <c r="DU77" s="20">
        <f t="shared" si="35"/>
        <v>3734623.7065604664</v>
      </c>
      <c r="DV77" s="20">
        <f t="shared" si="36"/>
        <v>1520504.3968279939</v>
      </c>
      <c r="DW77" s="20">
        <f t="shared" si="37"/>
        <v>5040.5123040368244</v>
      </c>
      <c r="DX77" s="20">
        <f t="shared" si="38"/>
        <v>299390.82</v>
      </c>
      <c r="DY77" s="20">
        <f t="shared" si="39"/>
        <v>0</v>
      </c>
      <c r="DZ77" s="20">
        <f t="shared" si="40"/>
        <v>0</v>
      </c>
      <c r="EA77" s="20">
        <f t="shared" si="41"/>
        <v>0</v>
      </c>
      <c r="EB77" s="20">
        <f t="shared" si="42"/>
        <v>111843.51999999999</v>
      </c>
      <c r="EC77" s="20">
        <f t="shared" si="46"/>
        <v>428542.45860300818</v>
      </c>
      <c r="ED77" s="20">
        <f t="shared" si="47"/>
        <v>71600</v>
      </c>
      <c r="EE77" s="20">
        <f t="shared" si="47"/>
        <v>262932.54139699182</v>
      </c>
      <c r="EF77" s="20">
        <f t="shared" si="48"/>
        <v>763075</v>
      </c>
      <c r="EG77" s="23">
        <f t="shared" si="49"/>
        <v>0.56159939534516023</v>
      </c>
      <c r="EH77" s="20">
        <f t="shared" si="50"/>
        <v>6434477.955692498</v>
      </c>
    </row>
    <row r="78" spans="1:138" x14ac:dyDescent="0.25">
      <c r="A78" s="18">
        <v>295</v>
      </c>
      <c r="B78" t="s">
        <v>218</v>
      </c>
      <c r="C78" t="s">
        <v>135</v>
      </c>
      <c r="D78">
        <v>6</v>
      </c>
      <c r="E78">
        <v>334</v>
      </c>
      <c r="F78" s="19">
        <f t="shared" si="43"/>
        <v>0.55988023952095811</v>
      </c>
      <c r="G78">
        <v>187</v>
      </c>
      <c r="H78" s="20">
        <v>191050.75104188372</v>
      </c>
      <c r="I78" s="20">
        <v>110891.27068881014</v>
      </c>
      <c r="J78" s="20">
        <v>122331.79937332397</v>
      </c>
      <c r="K78" s="20">
        <v>0</v>
      </c>
      <c r="L78" s="20">
        <v>0</v>
      </c>
      <c r="M78" s="20">
        <v>89505.059196611037</v>
      </c>
      <c r="N78" s="20">
        <v>59866.796146808359</v>
      </c>
      <c r="O78" s="20">
        <v>0</v>
      </c>
      <c r="P78" s="20">
        <v>0</v>
      </c>
      <c r="Q78" s="20">
        <v>0</v>
      </c>
      <c r="R78" s="20"/>
      <c r="S78" s="20">
        <v>77625.750694703253</v>
      </c>
      <c r="T78" s="20">
        <v>60676.224767295193</v>
      </c>
      <c r="U78" s="20">
        <v>99432.634749854755</v>
      </c>
      <c r="V78" s="20">
        <v>110891.27068881014</v>
      </c>
      <c r="W78" s="20">
        <v>110891.27068881014</v>
      </c>
      <c r="X78" s="20">
        <v>110891.27068881014</v>
      </c>
      <c r="Y78" s="20">
        <v>110891.27068881014</v>
      </c>
      <c r="Z78" s="20">
        <v>0</v>
      </c>
      <c r="AA78" s="20"/>
      <c r="AB78" s="20">
        <v>332673.8120664304</v>
      </c>
      <c r="AC78" s="20">
        <v>100233.47308369415</v>
      </c>
      <c r="AD78" s="20">
        <v>0</v>
      </c>
      <c r="AE78" s="20">
        <v>0</v>
      </c>
      <c r="AF78" s="20">
        <v>221782.54137762028</v>
      </c>
      <c r="AG78" s="20">
        <v>66822.315389129435</v>
      </c>
      <c r="AH78" s="20">
        <v>221782.54137762028</v>
      </c>
      <c r="AI78" s="20">
        <v>66822.315389129435</v>
      </c>
      <c r="AJ78" s="20">
        <v>221782.54137762028</v>
      </c>
      <c r="AK78" s="20">
        <v>221782.54137762028</v>
      </c>
      <c r="AL78" s="20">
        <v>221782.54137762028</v>
      </c>
      <c r="AM78" s="20">
        <v>221782.54137762028</v>
      </c>
      <c r="AN78" s="20">
        <v>221782.54137762028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/>
      <c r="AX78" s="20">
        <v>0</v>
      </c>
      <c r="AY78" s="20">
        <v>110891.27068881014</v>
      </c>
      <c r="AZ78" s="20">
        <v>221782.54137762028</v>
      </c>
      <c r="BA78" s="20">
        <v>887130.16551048111</v>
      </c>
      <c r="BB78" s="20">
        <v>167055.78847282359</v>
      </c>
      <c r="BC78" s="20">
        <v>96655.873025941983</v>
      </c>
      <c r="BD78" s="20">
        <v>0</v>
      </c>
      <c r="BE78" s="20">
        <v>50405.123040368242</v>
      </c>
      <c r="BF78" s="20">
        <v>0</v>
      </c>
      <c r="BG78" s="20">
        <v>0</v>
      </c>
      <c r="BH78" s="21">
        <f>71600-28640</f>
        <v>42960</v>
      </c>
      <c r="BI78" s="21">
        <f>71600-28640</f>
        <v>42960</v>
      </c>
      <c r="BJ78" s="20"/>
      <c r="BK78" s="20">
        <v>0</v>
      </c>
      <c r="BL78" s="20"/>
      <c r="BM78" s="20">
        <v>68020</v>
      </c>
      <c r="BN78" s="20">
        <v>136802.13</v>
      </c>
      <c r="BO78" s="20">
        <v>2263.2399999999998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  <c r="CE78" s="20">
        <v>0</v>
      </c>
      <c r="CF78" s="20">
        <v>0</v>
      </c>
      <c r="CG78" s="20">
        <v>0</v>
      </c>
      <c r="CH78" s="20">
        <v>0</v>
      </c>
      <c r="CI78" s="20">
        <v>0</v>
      </c>
      <c r="CJ78" s="20">
        <v>0</v>
      </c>
      <c r="CK78" s="20">
        <v>0</v>
      </c>
      <c r="CL78" s="20"/>
      <c r="CM78" s="20">
        <v>0</v>
      </c>
      <c r="CN78" s="20">
        <v>0</v>
      </c>
      <c r="CO78" s="20">
        <v>55921.759999999995</v>
      </c>
      <c r="CP78" s="20">
        <v>0</v>
      </c>
      <c r="CQ78" s="20">
        <v>0</v>
      </c>
      <c r="CR78" s="20">
        <v>0</v>
      </c>
      <c r="CS78" s="20">
        <v>3740</v>
      </c>
      <c r="CT78" s="20">
        <v>0</v>
      </c>
      <c r="CU78" s="20">
        <v>20338.436781609194</v>
      </c>
      <c r="CV78" s="20">
        <v>0</v>
      </c>
      <c r="CW78" s="20"/>
      <c r="CX78" s="20">
        <v>0</v>
      </c>
      <c r="CY78" s="20">
        <v>0</v>
      </c>
      <c r="CZ78" s="20">
        <v>0</v>
      </c>
      <c r="DA78" s="20">
        <v>0</v>
      </c>
      <c r="DB78" s="20">
        <v>33400</v>
      </c>
      <c r="DC78" s="20">
        <v>79017.122977347055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/>
      <c r="DJ78" s="20">
        <v>10575.000167638063</v>
      </c>
      <c r="DK78" s="22">
        <v>0</v>
      </c>
      <c r="DL78" s="20">
        <v>0</v>
      </c>
      <c r="DM78" s="20">
        <v>0</v>
      </c>
      <c r="DN78" s="20">
        <v>5403893.5270288959</v>
      </c>
      <c r="DO78" s="20">
        <f t="shared" si="32"/>
        <v>3268996.0245333593</v>
      </c>
      <c r="DP78" s="21">
        <v>432409</v>
      </c>
      <c r="DQ78" s="20">
        <f t="shared" si="33"/>
        <v>85920</v>
      </c>
      <c r="DR78" s="20">
        <f t="shared" si="34"/>
        <v>14315.000167638063</v>
      </c>
      <c r="DS78" s="20">
        <f t="shared" si="44"/>
        <v>332173.99983236194</v>
      </c>
      <c r="DT78" s="23">
        <f t="shared" si="45"/>
        <v>0.76819400112477287</v>
      </c>
      <c r="DU78" s="20">
        <f t="shared" si="35"/>
        <v>3174556.6349128503</v>
      </c>
      <c r="DV78" s="20">
        <f t="shared" si="36"/>
        <v>1483515.6390756769</v>
      </c>
      <c r="DW78" s="20">
        <f t="shared" si="37"/>
        <v>50405.123040368242</v>
      </c>
      <c r="DX78" s="20">
        <f t="shared" si="38"/>
        <v>207085.37</v>
      </c>
      <c r="DY78" s="20">
        <f t="shared" si="39"/>
        <v>0</v>
      </c>
      <c r="DZ78" s="20">
        <f t="shared" si="40"/>
        <v>0</v>
      </c>
      <c r="EA78" s="20">
        <f t="shared" si="41"/>
        <v>0</v>
      </c>
      <c r="EB78" s="20">
        <f t="shared" si="42"/>
        <v>55921.759999999995</v>
      </c>
      <c r="EC78" s="20">
        <f t="shared" si="46"/>
        <v>332173.99983236194</v>
      </c>
      <c r="ED78" s="20">
        <f t="shared" si="47"/>
        <v>85920</v>
      </c>
      <c r="EE78" s="20">
        <f t="shared" si="47"/>
        <v>14315.000167638063</v>
      </c>
      <c r="EF78" s="20">
        <f t="shared" si="48"/>
        <v>432409</v>
      </c>
      <c r="EG78" s="23">
        <f t="shared" si="49"/>
        <v>0.76819400112477287</v>
      </c>
      <c r="EH78" s="20">
        <f t="shared" si="50"/>
        <v>5403893.527028895</v>
      </c>
    </row>
    <row r="79" spans="1:138" x14ac:dyDescent="0.25">
      <c r="A79" s="18">
        <v>301</v>
      </c>
      <c r="B79" t="s">
        <v>219</v>
      </c>
      <c r="C79" t="s">
        <v>135</v>
      </c>
      <c r="D79">
        <v>6</v>
      </c>
      <c r="E79">
        <v>221</v>
      </c>
      <c r="F79" s="19">
        <f t="shared" si="43"/>
        <v>9.9547511312217188E-2</v>
      </c>
      <c r="G79">
        <v>22</v>
      </c>
      <c r="H79" s="20">
        <v>0</v>
      </c>
      <c r="I79" s="20">
        <v>110891.27068881014</v>
      </c>
      <c r="J79" s="20">
        <v>152914.74921665495</v>
      </c>
      <c r="K79" s="20">
        <v>0</v>
      </c>
      <c r="L79" s="20">
        <v>0</v>
      </c>
      <c r="M79" s="20">
        <v>44752.529598305518</v>
      </c>
      <c r="N79" s="20">
        <v>59866.796146808359</v>
      </c>
      <c r="O79" s="20">
        <v>0</v>
      </c>
      <c r="P79" s="20">
        <v>0</v>
      </c>
      <c r="Q79" s="20">
        <v>0</v>
      </c>
      <c r="R79" s="20"/>
      <c r="S79" s="20">
        <v>77625.750694703253</v>
      </c>
      <c r="T79" s="20">
        <v>60676.224767295193</v>
      </c>
      <c r="U79" s="20">
        <v>49716.317374927377</v>
      </c>
      <c r="V79" s="20">
        <v>55445.635344405069</v>
      </c>
      <c r="W79" s="20">
        <v>110891.27068881014</v>
      </c>
      <c r="X79" s="20">
        <v>110891.27068881014</v>
      </c>
      <c r="Y79" s="20">
        <v>110891.27068881014</v>
      </c>
      <c r="Z79" s="20">
        <v>0</v>
      </c>
      <c r="AA79" s="20"/>
      <c r="AB79" s="20">
        <v>443565.08275524055</v>
      </c>
      <c r="AC79" s="20">
        <v>133644.63077825887</v>
      </c>
      <c r="AD79" s="20">
        <v>0</v>
      </c>
      <c r="AE79" s="20">
        <v>0</v>
      </c>
      <c r="AF79" s="20">
        <v>443565.08275524055</v>
      </c>
      <c r="AG79" s="20">
        <v>133644.63077825887</v>
      </c>
      <c r="AH79" s="20">
        <v>443565.08275524055</v>
      </c>
      <c r="AI79" s="20">
        <v>133644.63077825887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/>
      <c r="AX79" s="20">
        <v>0</v>
      </c>
      <c r="AY79" s="20">
        <v>55445.635344405069</v>
      </c>
      <c r="AZ79" s="20">
        <v>0</v>
      </c>
      <c r="BA79" s="20">
        <v>110891.27068881014</v>
      </c>
      <c r="BB79" s="20">
        <v>0</v>
      </c>
      <c r="BC79" s="20">
        <v>0</v>
      </c>
      <c r="BD79" s="20">
        <v>0</v>
      </c>
      <c r="BE79" s="20">
        <v>5040.5123040368244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/>
      <c r="BM79" s="20">
        <v>0</v>
      </c>
      <c r="BN79" s="20">
        <v>0</v>
      </c>
      <c r="BO79" s="20">
        <v>0</v>
      </c>
      <c r="BP79" s="20">
        <v>5550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  <c r="CE79" s="20">
        <v>0</v>
      </c>
      <c r="CF79" s="20">
        <v>0</v>
      </c>
      <c r="CG79" s="20">
        <v>0</v>
      </c>
      <c r="CH79" s="20">
        <v>0</v>
      </c>
      <c r="CI79" s="20">
        <v>0</v>
      </c>
      <c r="CJ79" s="20">
        <v>0</v>
      </c>
      <c r="CK79" s="20">
        <v>0</v>
      </c>
      <c r="CL79" s="20"/>
      <c r="CM79" s="20">
        <v>0</v>
      </c>
      <c r="CN79" s="20">
        <v>0</v>
      </c>
      <c r="CO79" s="20">
        <v>55921.759999999995</v>
      </c>
      <c r="CP79" s="20">
        <v>0</v>
      </c>
      <c r="CQ79" s="20">
        <v>0</v>
      </c>
      <c r="CR79" s="20">
        <v>0</v>
      </c>
      <c r="CS79" s="20">
        <v>0</v>
      </c>
      <c r="CT79" s="20">
        <v>0</v>
      </c>
      <c r="CU79" s="20">
        <v>13367.875</v>
      </c>
      <c r="CV79" s="20">
        <v>0</v>
      </c>
      <c r="CW79" s="20"/>
      <c r="CX79" s="20">
        <v>0</v>
      </c>
      <c r="CY79" s="20">
        <v>0</v>
      </c>
      <c r="CZ79" s="20">
        <v>0</v>
      </c>
      <c r="DA79" s="20">
        <v>0</v>
      </c>
      <c r="DB79" s="20">
        <v>22100</v>
      </c>
      <c r="DC79" s="20">
        <v>45845.871281861058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/>
      <c r="DJ79" s="20">
        <v>2544</v>
      </c>
      <c r="DK79" s="22">
        <v>0</v>
      </c>
      <c r="DL79" s="20">
        <v>0</v>
      </c>
      <c r="DM79" s="20">
        <v>0</v>
      </c>
      <c r="DN79" s="20">
        <v>2992899.1511179511</v>
      </c>
      <c r="DO79" s="20">
        <f t="shared" si="32"/>
        <v>2569487.6799437734</v>
      </c>
      <c r="DP79" s="21">
        <v>50872</v>
      </c>
      <c r="DQ79" s="20">
        <f t="shared" si="33"/>
        <v>0</v>
      </c>
      <c r="DR79" s="20">
        <f t="shared" si="34"/>
        <v>2544</v>
      </c>
      <c r="DS79" s="20">
        <f t="shared" si="44"/>
        <v>48328</v>
      </c>
      <c r="DT79" s="23">
        <f t="shared" si="45"/>
        <v>0.9499921371284793</v>
      </c>
      <c r="DU79" s="20">
        <f t="shared" si="35"/>
        <v>2709177.9727806994</v>
      </c>
      <c r="DV79" s="20">
        <f t="shared" si="36"/>
        <v>166336.9060332152</v>
      </c>
      <c r="DW79" s="20">
        <f t="shared" si="37"/>
        <v>5040.5123040368244</v>
      </c>
      <c r="DX79" s="20">
        <f t="shared" si="38"/>
        <v>5550</v>
      </c>
      <c r="DY79" s="20">
        <f t="shared" si="39"/>
        <v>0</v>
      </c>
      <c r="DZ79" s="20">
        <f t="shared" si="40"/>
        <v>0</v>
      </c>
      <c r="EA79" s="20">
        <f t="shared" si="41"/>
        <v>0</v>
      </c>
      <c r="EB79" s="20">
        <f t="shared" si="42"/>
        <v>55921.759999999995</v>
      </c>
      <c r="EC79" s="20">
        <f t="shared" si="46"/>
        <v>48328</v>
      </c>
      <c r="ED79" s="20">
        <f t="shared" si="47"/>
        <v>0</v>
      </c>
      <c r="EE79" s="20">
        <f t="shared" si="47"/>
        <v>2544</v>
      </c>
      <c r="EF79" s="20">
        <f t="shared" si="48"/>
        <v>50872</v>
      </c>
      <c r="EG79" s="23">
        <f t="shared" si="49"/>
        <v>0.9499921371284793</v>
      </c>
      <c r="EH79" s="20">
        <f t="shared" si="50"/>
        <v>2992899.1511179511</v>
      </c>
    </row>
    <row r="80" spans="1:138" x14ac:dyDescent="0.25">
      <c r="A80" s="18">
        <v>478</v>
      </c>
      <c r="B80" t="s">
        <v>220</v>
      </c>
      <c r="C80" t="s">
        <v>138</v>
      </c>
      <c r="D80">
        <v>5</v>
      </c>
      <c r="E80">
        <v>272</v>
      </c>
      <c r="F80" s="19">
        <f t="shared" si="43"/>
        <v>0.66176470588235292</v>
      </c>
      <c r="G80">
        <v>180</v>
      </c>
      <c r="H80" s="20">
        <v>191050.75104188372</v>
      </c>
      <c r="I80" s="20">
        <v>110891.27068881014</v>
      </c>
      <c r="J80" s="20">
        <v>137623.27429498945</v>
      </c>
      <c r="K80" s="20">
        <v>0</v>
      </c>
      <c r="L80" s="20">
        <v>187138.29131332185</v>
      </c>
      <c r="M80" s="20">
        <v>44752.529598305518</v>
      </c>
      <c r="N80" s="20">
        <v>59866.796146808359</v>
      </c>
      <c r="O80" s="20">
        <v>0</v>
      </c>
      <c r="P80" s="20">
        <v>49534.351124581444</v>
      </c>
      <c r="Q80" s="20">
        <v>69924.031375330247</v>
      </c>
      <c r="R80" s="20"/>
      <c r="S80" s="20">
        <v>77625.750694703253</v>
      </c>
      <c r="T80" s="20">
        <v>60676.224767295193</v>
      </c>
      <c r="U80" s="20">
        <v>149148.95212478214</v>
      </c>
      <c r="V80" s="20">
        <v>55445.635344405069</v>
      </c>
      <c r="W80" s="20">
        <v>0</v>
      </c>
      <c r="X80" s="20">
        <v>0</v>
      </c>
      <c r="Y80" s="20">
        <v>0</v>
      </c>
      <c r="Z80" s="20">
        <v>0</v>
      </c>
      <c r="AA80" s="20"/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632080.24292621785</v>
      </c>
      <c r="AS80" s="20">
        <v>465743.33689300262</v>
      </c>
      <c r="AT80" s="20">
        <v>288317.30379090639</v>
      </c>
      <c r="AU80" s="20">
        <v>299406.43085978739</v>
      </c>
      <c r="AV80" s="20">
        <v>0</v>
      </c>
      <c r="AW80" s="20"/>
      <c r="AX80" s="20">
        <v>0</v>
      </c>
      <c r="AY80" s="20">
        <v>110891.27068881014</v>
      </c>
      <c r="AZ80" s="20">
        <v>110891.27068881014</v>
      </c>
      <c r="BA80" s="20">
        <v>443565.08275524055</v>
      </c>
      <c r="BB80" s="20">
        <v>0</v>
      </c>
      <c r="BC80" s="20">
        <v>0</v>
      </c>
      <c r="BD80" s="20">
        <v>0</v>
      </c>
      <c r="BE80" s="20">
        <v>110891.27068881014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40000</v>
      </c>
      <c r="BL80" s="20"/>
      <c r="BM80" s="20">
        <v>0</v>
      </c>
      <c r="BN80" s="20">
        <v>109526.94</v>
      </c>
      <c r="BO80" s="20">
        <v>1812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45000</v>
      </c>
      <c r="CB80" s="20">
        <v>0</v>
      </c>
      <c r="CC80" s="20">
        <v>0</v>
      </c>
      <c r="CD80" s="20">
        <v>0</v>
      </c>
      <c r="CE80" s="20">
        <v>221782.54137762028</v>
      </c>
      <c r="CF80" s="20">
        <v>0</v>
      </c>
      <c r="CG80" s="20">
        <v>140126.11598983698</v>
      </c>
      <c r="CH80" s="20">
        <v>114084.97559574516</v>
      </c>
      <c r="CI80" s="20">
        <v>0</v>
      </c>
      <c r="CJ80" s="20">
        <v>0</v>
      </c>
      <c r="CK80" s="20">
        <v>0</v>
      </c>
      <c r="CL80" s="20"/>
      <c r="CM80" s="20">
        <v>0</v>
      </c>
      <c r="CN80" s="20">
        <v>0</v>
      </c>
      <c r="CO80" s="20">
        <v>244045.91999999998</v>
      </c>
      <c r="CP80" s="20">
        <v>0</v>
      </c>
      <c r="CQ80" s="20">
        <v>114084.97559574516</v>
      </c>
      <c r="CR80" s="20">
        <v>0</v>
      </c>
      <c r="CS80" s="20">
        <v>3600</v>
      </c>
      <c r="CT80" s="20">
        <v>0</v>
      </c>
      <c r="CU80" s="20">
        <v>38380.979062500002</v>
      </c>
      <c r="CV80" s="20">
        <v>0</v>
      </c>
      <c r="CW80" s="20"/>
      <c r="CX80" s="20">
        <v>0</v>
      </c>
      <c r="CY80" s="20">
        <v>0</v>
      </c>
      <c r="CZ80" s="20">
        <v>0</v>
      </c>
      <c r="DA80" s="20">
        <v>0</v>
      </c>
      <c r="DB80" s="20">
        <v>27200</v>
      </c>
      <c r="DC80" s="20">
        <v>60689.739598781009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/>
      <c r="DJ80" s="20">
        <v>6075.0000737607479</v>
      </c>
      <c r="DK80" s="22">
        <v>0</v>
      </c>
      <c r="DL80" s="20">
        <v>83968.399275162257</v>
      </c>
      <c r="DM80" s="20">
        <v>250000</v>
      </c>
      <c r="DN80" s="20">
        <v>5155841.6543759499</v>
      </c>
      <c r="DO80" s="20">
        <f t="shared" si="32"/>
        <v>3053912.4810329964</v>
      </c>
      <c r="DP80" s="21">
        <v>416223</v>
      </c>
      <c r="DQ80" s="20">
        <f t="shared" si="33"/>
        <v>40000</v>
      </c>
      <c r="DR80" s="20">
        <f t="shared" si="34"/>
        <v>263886.09165934287</v>
      </c>
      <c r="DS80" s="20">
        <f t="shared" si="44"/>
        <v>112336.90834065713</v>
      </c>
      <c r="DT80" s="23">
        <f t="shared" si="45"/>
        <v>0.26989596524136611</v>
      </c>
      <c r="DU80" s="20">
        <f t="shared" si="35"/>
        <v>3479026.5002791197</v>
      </c>
      <c r="DV80" s="20">
        <f t="shared" si="36"/>
        <v>665347.6241328608</v>
      </c>
      <c r="DW80" s="20">
        <f t="shared" si="37"/>
        <v>110891.27068881014</v>
      </c>
      <c r="DX80" s="20">
        <f t="shared" si="38"/>
        <v>156338.94</v>
      </c>
      <c r="DY80" s="20">
        <f t="shared" si="39"/>
        <v>0</v>
      </c>
      <c r="DZ80" s="20">
        <f t="shared" si="40"/>
        <v>0</v>
      </c>
      <c r="EA80" s="20">
        <f t="shared" si="41"/>
        <v>83968.399275162257</v>
      </c>
      <c r="EB80" s="20">
        <f t="shared" si="42"/>
        <v>244045.91999999998</v>
      </c>
      <c r="EC80" s="20">
        <f t="shared" si="46"/>
        <v>112336.90834065713</v>
      </c>
      <c r="ED80" s="20">
        <f t="shared" si="47"/>
        <v>40000</v>
      </c>
      <c r="EE80" s="20">
        <f t="shared" si="47"/>
        <v>263886.09165934287</v>
      </c>
      <c r="EF80" s="20">
        <f t="shared" si="48"/>
        <v>416223</v>
      </c>
      <c r="EG80" s="23">
        <f t="shared" si="49"/>
        <v>0.26989596524136611</v>
      </c>
      <c r="EH80" s="20">
        <f t="shared" si="50"/>
        <v>5155841.6543759536</v>
      </c>
    </row>
    <row r="81" spans="1:138" x14ac:dyDescent="0.25">
      <c r="A81" s="18">
        <v>299</v>
      </c>
      <c r="B81" t="s">
        <v>221</v>
      </c>
      <c r="C81" t="s">
        <v>135</v>
      </c>
      <c r="D81">
        <v>7</v>
      </c>
      <c r="E81">
        <v>271</v>
      </c>
      <c r="F81" s="19">
        <f t="shared" si="43"/>
        <v>0.87822878228782286</v>
      </c>
      <c r="G81">
        <v>238</v>
      </c>
      <c r="H81" s="20">
        <v>191050.75104188372</v>
      </c>
      <c r="I81" s="20">
        <v>110891.27068881014</v>
      </c>
      <c r="J81" s="20">
        <v>0</v>
      </c>
      <c r="K81" s="20">
        <v>0</v>
      </c>
      <c r="L81" s="20">
        <v>0</v>
      </c>
      <c r="M81" s="20">
        <v>44752.529598305518</v>
      </c>
      <c r="N81" s="20">
        <v>59866.796146808359</v>
      </c>
      <c r="O81" s="20">
        <v>0</v>
      </c>
      <c r="P81" s="20">
        <v>0</v>
      </c>
      <c r="Q81" s="20">
        <v>0</v>
      </c>
      <c r="R81" s="20"/>
      <c r="S81" s="20">
        <v>77625.750694703253</v>
      </c>
      <c r="T81" s="20">
        <v>60676.224767295193</v>
      </c>
      <c r="U81" s="20">
        <v>49716.317374927377</v>
      </c>
      <c r="V81" s="20">
        <v>55445.635344405069</v>
      </c>
      <c r="W81" s="20">
        <v>110891.27068881014</v>
      </c>
      <c r="X81" s="20">
        <v>110891.27068881014</v>
      </c>
      <c r="Y81" s="20">
        <v>110891.27068881014</v>
      </c>
      <c r="Z81" s="20">
        <f>110891.27068881-AA81</f>
        <v>-1.4551915228366852E-10</v>
      </c>
      <c r="AA81" s="20">
        <v>110891.27068881014</v>
      </c>
      <c r="AB81" s="20">
        <v>0</v>
      </c>
      <c r="AC81" s="20">
        <v>0</v>
      </c>
      <c r="AD81" s="20">
        <v>443565.08275524055</v>
      </c>
      <c r="AE81" s="20">
        <v>133644.63077825887</v>
      </c>
      <c r="AF81" s="20">
        <v>0</v>
      </c>
      <c r="AG81" s="20">
        <v>0</v>
      </c>
      <c r="AH81" s="20">
        <v>221782.54137762028</v>
      </c>
      <c r="AI81" s="20">
        <v>66822.315389129435</v>
      </c>
      <c r="AJ81" s="20">
        <v>221782.54137762028</v>
      </c>
      <c r="AK81" s="20">
        <v>221782.54137762028</v>
      </c>
      <c r="AL81" s="20">
        <v>221782.54137762028</v>
      </c>
      <c r="AM81" s="20">
        <v>221782.54137762028</v>
      </c>
      <c r="AN81" s="20">
        <v>221782.54137762028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/>
      <c r="AX81" s="20">
        <v>0</v>
      </c>
      <c r="AY81" s="20">
        <v>110891.27068881014</v>
      </c>
      <c r="AZ81" s="20">
        <v>166336.9060332152</v>
      </c>
      <c r="BA81" s="20">
        <v>665347.6241328608</v>
      </c>
      <c r="BB81" s="20">
        <v>200466.94616738829</v>
      </c>
      <c r="BC81" s="20">
        <v>0</v>
      </c>
      <c r="BD81" s="20">
        <v>0</v>
      </c>
      <c r="BE81" s="20">
        <v>166336.9060332152</v>
      </c>
      <c r="BF81" s="20">
        <v>0</v>
      </c>
      <c r="BG81" s="20">
        <v>0</v>
      </c>
      <c r="BH81" s="21">
        <f>50120-21480</f>
        <v>28640</v>
      </c>
      <c r="BI81" s="21">
        <f>50120-21480</f>
        <v>28640</v>
      </c>
      <c r="BJ81" s="20"/>
      <c r="BK81" s="20">
        <v>0</v>
      </c>
      <c r="BL81" s="20"/>
      <c r="BM81" s="20">
        <v>53700</v>
      </c>
      <c r="BN81" s="20">
        <v>122312.18</v>
      </c>
      <c r="BO81" s="20">
        <v>2023.52</v>
      </c>
      <c r="BP81" s="20">
        <v>0</v>
      </c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0">
        <v>0</v>
      </c>
      <c r="CI81" s="20">
        <v>0</v>
      </c>
      <c r="CJ81" s="20">
        <v>0</v>
      </c>
      <c r="CK81" s="20">
        <v>0</v>
      </c>
      <c r="CL81" s="20"/>
      <c r="CM81" s="20">
        <v>0</v>
      </c>
      <c r="CN81" s="20">
        <v>0</v>
      </c>
      <c r="CO81" s="20">
        <v>55921.759999999995</v>
      </c>
      <c r="CP81" s="20">
        <v>0</v>
      </c>
      <c r="CQ81" s="20">
        <v>0</v>
      </c>
      <c r="CR81" s="20">
        <v>0</v>
      </c>
      <c r="CS81" s="20">
        <v>9520</v>
      </c>
      <c r="CT81" s="20">
        <v>0</v>
      </c>
      <c r="CU81" s="20">
        <v>15801.540178571428</v>
      </c>
      <c r="CV81" s="20">
        <v>0</v>
      </c>
      <c r="CW81" s="20"/>
      <c r="CX81" s="20">
        <v>0</v>
      </c>
      <c r="CY81" s="20">
        <v>0</v>
      </c>
      <c r="CZ81" s="20">
        <v>0</v>
      </c>
      <c r="DA81" s="20">
        <v>0</v>
      </c>
      <c r="DB81" s="20">
        <v>27100</v>
      </c>
      <c r="DC81" s="20">
        <v>70480.926347365123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/>
      <c r="DJ81" s="20">
        <v>25025.000087171793</v>
      </c>
      <c r="DK81" s="22">
        <v>0</v>
      </c>
      <c r="DL81" s="20">
        <v>0</v>
      </c>
      <c r="DM81" s="20">
        <v>135000</v>
      </c>
      <c r="DN81" s="20">
        <v>4951862.21526933</v>
      </c>
      <c r="DO81" s="20">
        <f t="shared" si="32"/>
        <v>2882790.53860093</v>
      </c>
      <c r="DP81" s="21">
        <v>550339</v>
      </c>
      <c r="DQ81" s="20">
        <f t="shared" si="33"/>
        <v>57280</v>
      </c>
      <c r="DR81" s="20">
        <f t="shared" si="34"/>
        <v>145436.27077598195</v>
      </c>
      <c r="DS81" s="20">
        <f t="shared" si="44"/>
        <v>347622.72922401805</v>
      </c>
      <c r="DT81" s="23">
        <f t="shared" si="45"/>
        <v>0.63165199853911513</v>
      </c>
      <c r="DU81" s="20">
        <f t="shared" si="35"/>
        <v>2858186.1022138381</v>
      </c>
      <c r="DV81" s="20">
        <f t="shared" si="36"/>
        <v>1143042.7470222744</v>
      </c>
      <c r="DW81" s="20">
        <f t="shared" si="37"/>
        <v>166336.9060332152</v>
      </c>
      <c r="DX81" s="20">
        <f t="shared" si="38"/>
        <v>178035.69999999998</v>
      </c>
      <c r="DY81" s="20">
        <f t="shared" si="39"/>
        <v>0</v>
      </c>
      <c r="DZ81" s="20">
        <f t="shared" si="40"/>
        <v>0</v>
      </c>
      <c r="EA81" s="20">
        <f t="shared" si="41"/>
        <v>0</v>
      </c>
      <c r="EB81" s="20">
        <f t="shared" si="42"/>
        <v>55921.759999999995</v>
      </c>
      <c r="EC81" s="20">
        <f t="shared" si="46"/>
        <v>347622.72922401805</v>
      </c>
      <c r="ED81" s="20">
        <f t="shared" si="47"/>
        <v>57280</v>
      </c>
      <c r="EE81" s="20">
        <f t="shared" si="47"/>
        <v>145436.27077598195</v>
      </c>
      <c r="EF81" s="20">
        <f t="shared" si="48"/>
        <v>550339</v>
      </c>
      <c r="EG81" s="23">
        <f t="shared" si="49"/>
        <v>0.63165199853911513</v>
      </c>
      <c r="EH81" s="20">
        <f t="shared" si="50"/>
        <v>4951862.2152693272</v>
      </c>
    </row>
    <row r="82" spans="1:138" x14ac:dyDescent="0.25">
      <c r="A82" s="18">
        <v>300</v>
      </c>
      <c r="B82" t="s">
        <v>222</v>
      </c>
      <c r="C82" t="s">
        <v>135</v>
      </c>
      <c r="D82">
        <v>4</v>
      </c>
      <c r="E82">
        <v>533</v>
      </c>
      <c r="F82" s="19">
        <f t="shared" si="43"/>
        <v>0.43902439024390244</v>
      </c>
      <c r="G82">
        <v>234</v>
      </c>
      <c r="H82" s="20">
        <v>191050.75104188372</v>
      </c>
      <c r="I82" s="20">
        <v>110891.27068881014</v>
      </c>
      <c r="J82" s="20">
        <v>198789.17398165143</v>
      </c>
      <c r="K82" s="20">
        <v>0</v>
      </c>
      <c r="L82" s="20">
        <v>0</v>
      </c>
      <c r="M82" s="20">
        <v>89505.059196611037</v>
      </c>
      <c r="N82" s="20">
        <v>59866.796146808359</v>
      </c>
      <c r="O82" s="20">
        <v>58280.552041789575</v>
      </c>
      <c r="P82" s="20">
        <v>0</v>
      </c>
      <c r="Q82" s="20">
        <v>0</v>
      </c>
      <c r="R82" s="20"/>
      <c r="S82" s="20">
        <v>77625.750694703253</v>
      </c>
      <c r="T82" s="20">
        <v>60676.224767295193</v>
      </c>
      <c r="U82" s="20">
        <v>149148.95212478214</v>
      </c>
      <c r="V82" s="20">
        <v>110891.27068881014</v>
      </c>
      <c r="W82" s="20">
        <v>110891.27068881014</v>
      </c>
      <c r="X82" s="20">
        <v>110891.27068881014</v>
      </c>
      <c r="Y82" s="20">
        <v>110891.27068881014</v>
      </c>
      <c r="Z82" s="20">
        <v>166336.9060332152</v>
      </c>
      <c r="AA82" s="20"/>
      <c r="AB82" s="20">
        <v>0</v>
      </c>
      <c r="AC82" s="20">
        <v>0</v>
      </c>
      <c r="AD82" s="20">
        <v>554456.35344405065</v>
      </c>
      <c r="AE82" s="20">
        <v>167055.78847282359</v>
      </c>
      <c r="AF82" s="20">
        <v>0</v>
      </c>
      <c r="AG82" s="20">
        <v>0</v>
      </c>
      <c r="AH82" s="20">
        <v>443565.08275524055</v>
      </c>
      <c r="AI82" s="20">
        <v>133644.63077825887</v>
      </c>
      <c r="AJ82" s="20">
        <v>443565.08275524055</v>
      </c>
      <c r="AK82" s="20">
        <v>443565.08275524055</v>
      </c>
      <c r="AL82" s="20">
        <v>332673.8120664304</v>
      </c>
      <c r="AM82" s="20">
        <v>332673.8120664304</v>
      </c>
      <c r="AN82" s="20">
        <v>332673.8120664304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/>
      <c r="AX82" s="20">
        <v>0</v>
      </c>
      <c r="AY82" s="20">
        <v>110891.27068881014</v>
      </c>
      <c r="AZ82" s="20">
        <v>110891.27068881014</v>
      </c>
      <c r="BA82" s="20">
        <v>776238.89482167095</v>
      </c>
      <c r="BB82" s="20">
        <v>66822.315389129435</v>
      </c>
      <c r="BC82" s="20">
        <v>0</v>
      </c>
      <c r="BD82" s="20">
        <v>0</v>
      </c>
      <c r="BE82" s="20">
        <v>1718814.6956765573</v>
      </c>
      <c r="BF82" s="20">
        <v>33411.157694564718</v>
      </c>
      <c r="BG82" s="20">
        <v>332673.8120664304</v>
      </c>
      <c r="BH82" s="21">
        <f>100240-42960</f>
        <v>57280</v>
      </c>
      <c r="BI82" s="21">
        <f>100240-42960</f>
        <v>57280</v>
      </c>
      <c r="BJ82" s="20">
        <v>0</v>
      </c>
      <c r="BK82" s="20">
        <v>0</v>
      </c>
      <c r="BL82" s="20"/>
      <c r="BM82" s="20">
        <v>85920</v>
      </c>
      <c r="BN82" s="20">
        <v>225446.49</v>
      </c>
      <c r="BO82" s="20">
        <v>3729.76</v>
      </c>
      <c r="BP82" s="20">
        <v>0</v>
      </c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  <c r="CD82" s="20">
        <v>0</v>
      </c>
      <c r="CE82" s="20">
        <v>0</v>
      </c>
      <c r="CF82" s="20">
        <v>0</v>
      </c>
      <c r="CG82" s="20">
        <v>0</v>
      </c>
      <c r="CH82" s="20">
        <v>0</v>
      </c>
      <c r="CI82" s="20">
        <v>0</v>
      </c>
      <c r="CJ82" s="20">
        <v>0</v>
      </c>
      <c r="CK82" s="20">
        <v>0</v>
      </c>
      <c r="CL82" s="20"/>
      <c r="CM82" s="20">
        <v>0</v>
      </c>
      <c r="CN82" s="20">
        <v>0</v>
      </c>
      <c r="CO82" s="20">
        <v>111843.51999999999</v>
      </c>
      <c r="CP82" s="20">
        <v>0</v>
      </c>
      <c r="CQ82" s="20">
        <v>0</v>
      </c>
      <c r="CR82" s="20">
        <v>0</v>
      </c>
      <c r="CS82" s="20">
        <v>4680</v>
      </c>
      <c r="CT82" s="20">
        <v>146160</v>
      </c>
      <c r="CU82" s="20">
        <v>26713.052083333332</v>
      </c>
      <c r="CV82" s="20">
        <v>0</v>
      </c>
      <c r="CW82" s="20"/>
      <c r="CX82" s="20">
        <v>0</v>
      </c>
      <c r="CY82" s="20">
        <v>0</v>
      </c>
      <c r="CZ82" s="20">
        <v>0</v>
      </c>
      <c r="DA82" s="20">
        <v>0</v>
      </c>
      <c r="DB82" s="20">
        <v>53300</v>
      </c>
      <c r="DC82" s="20">
        <v>130176.76563790844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/>
      <c r="DJ82" s="20">
        <v>27499.999541044235</v>
      </c>
      <c r="DK82" s="22">
        <v>0</v>
      </c>
      <c r="DL82" s="20">
        <v>0</v>
      </c>
      <c r="DM82" s="20">
        <v>0</v>
      </c>
      <c r="DN82" s="20">
        <v>8869382.980921194</v>
      </c>
      <c r="DO82" s="20">
        <f t="shared" si="32"/>
        <v>4712348.8667673962</v>
      </c>
      <c r="DP82" s="21">
        <v>541089</v>
      </c>
      <c r="DQ82" s="20">
        <f t="shared" si="33"/>
        <v>114560</v>
      </c>
      <c r="DR82" s="20">
        <f t="shared" si="34"/>
        <v>178339.99954104424</v>
      </c>
      <c r="DS82" s="20">
        <f t="shared" si="44"/>
        <v>248189.00045895576</v>
      </c>
      <c r="DT82" s="23">
        <f t="shared" si="45"/>
        <v>0.45868424687797343</v>
      </c>
      <c r="DU82" s="20">
        <f t="shared" si="35"/>
        <v>4751610.7938952222</v>
      </c>
      <c r="DV82" s="20">
        <f t="shared" si="36"/>
        <v>1064843.7515884207</v>
      </c>
      <c r="DW82" s="20">
        <f t="shared" si="37"/>
        <v>2084899.6654375524</v>
      </c>
      <c r="DX82" s="20">
        <f t="shared" si="38"/>
        <v>315096.25</v>
      </c>
      <c r="DY82" s="20">
        <f t="shared" si="39"/>
        <v>0</v>
      </c>
      <c r="DZ82" s="20">
        <f t="shared" si="40"/>
        <v>0</v>
      </c>
      <c r="EA82" s="20">
        <f t="shared" si="41"/>
        <v>0</v>
      </c>
      <c r="EB82" s="20">
        <f t="shared" si="42"/>
        <v>111843.51999999999</v>
      </c>
      <c r="EC82" s="20">
        <f t="shared" si="46"/>
        <v>248189.00045895576</v>
      </c>
      <c r="ED82" s="20">
        <f t="shared" si="47"/>
        <v>114560</v>
      </c>
      <c r="EE82" s="20">
        <f t="shared" si="47"/>
        <v>178339.99954104424</v>
      </c>
      <c r="EF82" s="20">
        <f t="shared" si="48"/>
        <v>541089</v>
      </c>
      <c r="EG82" s="23">
        <f t="shared" si="49"/>
        <v>0.45868424687797343</v>
      </c>
      <c r="EH82" s="20">
        <f t="shared" si="50"/>
        <v>8869382.980921194</v>
      </c>
    </row>
    <row r="83" spans="1:138" x14ac:dyDescent="0.25">
      <c r="A83" s="18">
        <v>316</v>
      </c>
      <c r="B83" t="s">
        <v>223</v>
      </c>
      <c r="C83" t="s">
        <v>135</v>
      </c>
      <c r="D83">
        <v>7</v>
      </c>
      <c r="E83">
        <v>346</v>
      </c>
      <c r="F83" s="19">
        <f t="shared" si="43"/>
        <v>0.56647398843930641</v>
      </c>
      <c r="G83">
        <v>196</v>
      </c>
      <c r="H83" s="20">
        <v>191050.75104188372</v>
      </c>
      <c r="I83" s="20">
        <v>110891.27068881014</v>
      </c>
      <c r="J83" s="20">
        <v>137623.27429498945</v>
      </c>
      <c r="K83" s="20">
        <v>0</v>
      </c>
      <c r="L83" s="20">
        <v>0</v>
      </c>
      <c r="M83" s="20">
        <v>89505.059196611037</v>
      </c>
      <c r="N83" s="20">
        <v>59866.796146808359</v>
      </c>
      <c r="O83" s="20">
        <v>0</v>
      </c>
      <c r="P83" s="20">
        <v>0</v>
      </c>
      <c r="Q83" s="20">
        <v>0</v>
      </c>
      <c r="R83" s="20"/>
      <c r="S83" s="20">
        <v>77625.750694703253</v>
      </c>
      <c r="T83" s="20">
        <v>60676.224767295193</v>
      </c>
      <c r="U83" s="20">
        <v>99432.634749854755</v>
      </c>
      <c r="V83" s="20">
        <v>110891.27068881014</v>
      </c>
      <c r="W83" s="20">
        <v>110891.27068881014</v>
      </c>
      <c r="X83" s="20">
        <v>110891.27068881014</v>
      </c>
      <c r="Y83" s="20">
        <v>110891.27068881014</v>
      </c>
      <c r="Z83" s="20">
        <v>0</v>
      </c>
      <c r="AA83" s="20"/>
      <c r="AB83" s="20">
        <v>221782.54137762028</v>
      </c>
      <c r="AC83" s="20">
        <v>66822.315389129435</v>
      </c>
      <c r="AD83" s="20">
        <v>110891.27068881014</v>
      </c>
      <c r="AE83" s="20">
        <v>33411.157694564718</v>
      </c>
      <c r="AF83" s="20">
        <v>221782.54137762028</v>
      </c>
      <c r="AG83" s="20">
        <v>66822.315389129435</v>
      </c>
      <c r="AH83" s="20">
        <v>221782.54137762028</v>
      </c>
      <c r="AI83" s="20">
        <v>66822.315389129435</v>
      </c>
      <c r="AJ83" s="20">
        <v>221782.54137762028</v>
      </c>
      <c r="AK83" s="20">
        <v>221782.54137762028</v>
      </c>
      <c r="AL83" s="20">
        <v>221782.54137762028</v>
      </c>
      <c r="AM83" s="20">
        <v>221782.54137762028</v>
      </c>
      <c r="AN83" s="20">
        <v>221782.54137762028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/>
      <c r="AX83" s="20">
        <v>0</v>
      </c>
      <c r="AY83" s="20">
        <v>110891.27068881014</v>
      </c>
      <c r="AZ83" s="20">
        <v>110891.27068881014</v>
      </c>
      <c r="BA83" s="20">
        <v>554456.35344405065</v>
      </c>
      <c r="BB83" s="20">
        <v>0</v>
      </c>
      <c r="BC83" s="20">
        <v>0</v>
      </c>
      <c r="BD83" s="20">
        <v>0</v>
      </c>
      <c r="BE83" s="20">
        <v>5040.5123040368244</v>
      </c>
      <c r="BF83" s="20">
        <v>0</v>
      </c>
      <c r="BG83" s="20">
        <v>0</v>
      </c>
      <c r="BH83" s="21">
        <f>35800-14320</f>
        <v>21480</v>
      </c>
      <c r="BI83" s="21">
        <f>35800-14320</f>
        <v>21480</v>
      </c>
      <c r="BJ83" s="20"/>
      <c r="BK83" s="20">
        <v>0</v>
      </c>
      <c r="BL83" s="20"/>
      <c r="BM83" s="20">
        <v>39380</v>
      </c>
      <c r="BN83" s="20">
        <v>147456.5</v>
      </c>
      <c r="BO83" s="20">
        <v>2439.5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/>
      <c r="CM83" s="20">
        <v>0</v>
      </c>
      <c r="CN83" s="20">
        <v>0</v>
      </c>
      <c r="CO83" s="20">
        <v>111843.51999999999</v>
      </c>
      <c r="CP83" s="20">
        <v>0</v>
      </c>
      <c r="CQ83" s="20">
        <v>0</v>
      </c>
      <c r="CR83" s="20">
        <v>0</v>
      </c>
      <c r="CS83" s="20">
        <v>3920</v>
      </c>
      <c r="CT83" s="20">
        <v>0</v>
      </c>
      <c r="CU83" s="20">
        <v>19717.555555555555</v>
      </c>
      <c r="CV83" s="20">
        <v>0</v>
      </c>
      <c r="CW83" s="20"/>
      <c r="CX83" s="20">
        <v>0</v>
      </c>
      <c r="CY83" s="20">
        <v>0</v>
      </c>
      <c r="CZ83" s="20">
        <v>0</v>
      </c>
      <c r="DA83" s="20">
        <v>0</v>
      </c>
      <c r="DB83" s="20">
        <v>34600</v>
      </c>
      <c r="DC83" s="20">
        <v>67145.789908241437</v>
      </c>
      <c r="DD83" s="20">
        <v>0</v>
      </c>
      <c r="DE83" s="20">
        <v>0</v>
      </c>
      <c r="DF83" s="20">
        <v>13859</v>
      </c>
      <c r="DG83" s="20">
        <v>0</v>
      </c>
      <c r="DH83" s="20">
        <v>0</v>
      </c>
      <c r="DI83" s="20"/>
      <c r="DJ83" s="20">
        <v>24375.000154972076</v>
      </c>
      <c r="DK83" s="22">
        <v>0</v>
      </c>
      <c r="DL83" s="20">
        <v>0</v>
      </c>
      <c r="DM83" s="20">
        <v>0</v>
      </c>
      <c r="DN83" s="20">
        <v>4678242.8226523986</v>
      </c>
      <c r="DO83" s="20">
        <f t="shared" si="32"/>
        <v>3272995.2851598654</v>
      </c>
      <c r="DP83" s="21">
        <v>453220</v>
      </c>
      <c r="DQ83" s="20">
        <f t="shared" si="33"/>
        <v>42960</v>
      </c>
      <c r="DR83" s="20">
        <f t="shared" si="34"/>
        <v>28295.000154972076</v>
      </c>
      <c r="DS83" s="20">
        <f t="shared" si="44"/>
        <v>381964.99984502792</v>
      </c>
      <c r="DT83" s="23">
        <f t="shared" si="45"/>
        <v>0.84278054773626032</v>
      </c>
      <c r="DU83" s="20">
        <f t="shared" si="35"/>
        <v>3142623.8955266904</v>
      </c>
      <c r="DV83" s="20">
        <f t="shared" si="36"/>
        <v>776238.89482167095</v>
      </c>
      <c r="DW83" s="20">
        <f t="shared" si="37"/>
        <v>5040.5123040368244</v>
      </c>
      <c r="DX83" s="20">
        <f t="shared" si="38"/>
        <v>189276</v>
      </c>
      <c r="DY83" s="20">
        <f t="shared" si="39"/>
        <v>0</v>
      </c>
      <c r="DZ83" s="20">
        <f t="shared" si="40"/>
        <v>0</v>
      </c>
      <c r="EA83" s="20">
        <f t="shared" si="41"/>
        <v>0</v>
      </c>
      <c r="EB83" s="20">
        <f t="shared" si="42"/>
        <v>111843.51999999999</v>
      </c>
      <c r="EC83" s="20">
        <f t="shared" si="46"/>
        <v>381964.99984502792</v>
      </c>
      <c r="ED83" s="20">
        <f t="shared" si="47"/>
        <v>42960</v>
      </c>
      <c r="EE83" s="20">
        <f t="shared" si="47"/>
        <v>28295.000154972076</v>
      </c>
      <c r="EF83" s="20">
        <f t="shared" si="48"/>
        <v>453220</v>
      </c>
      <c r="EG83" s="23">
        <f t="shared" si="49"/>
        <v>0.84278054773626032</v>
      </c>
      <c r="EH83" s="20">
        <f t="shared" si="50"/>
        <v>4678242.8226523977</v>
      </c>
    </row>
    <row r="84" spans="1:138" x14ac:dyDescent="0.25">
      <c r="A84" s="18">
        <v>302</v>
      </c>
      <c r="B84" t="s">
        <v>224</v>
      </c>
      <c r="C84" t="s">
        <v>135</v>
      </c>
      <c r="D84">
        <v>4</v>
      </c>
      <c r="E84">
        <v>472</v>
      </c>
      <c r="F84" s="19">
        <f t="shared" si="43"/>
        <v>0.57415254237288138</v>
      </c>
      <c r="G84">
        <v>271</v>
      </c>
      <c r="H84" s="20">
        <v>191050.75104188372</v>
      </c>
      <c r="I84" s="20">
        <v>110891.27068881014</v>
      </c>
      <c r="J84" s="20">
        <v>183497.69905998593</v>
      </c>
      <c r="K84" s="20">
        <v>0</v>
      </c>
      <c r="L84" s="20">
        <v>0</v>
      </c>
      <c r="M84" s="20">
        <v>89505.059196611037</v>
      </c>
      <c r="N84" s="20">
        <v>59866.796146808359</v>
      </c>
      <c r="O84" s="20">
        <v>53797.432653959608</v>
      </c>
      <c r="P84" s="20">
        <v>0</v>
      </c>
      <c r="Q84" s="20">
        <v>0</v>
      </c>
      <c r="R84" s="20"/>
      <c r="S84" s="20">
        <v>77625.750694703253</v>
      </c>
      <c r="T84" s="20">
        <v>60676.224767295193</v>
      </c>
      <c r="U84" s="20">
        <v>99432.634749854755</v>
      </c>
      <c r="V84" s="20">
        <v>110891.27068881014</v>
      </c>
      <c r="W84" s="20">
        <v>110891.27068881014</v>
      </c>
      <c r="X84" s="20">
        <v>110891.27068881014</v>
      </c>
      <c r="Y84" s="20">
        <v>110891.27068881014</v>
      </c>
      <c r="Z84" s="20">
        <f>221782.54137762-AA84</f>
        <v>166336.90603321491</v>
      </c>
      <c r="AA84" s="20">
        <f>0.5*Y84</f>
        <v>55445.635344405069</v>
      </c>
      <c r="AB84" s="20">
        <v>332673.8120664304</v>
      </c>
      <c r="AC84" s="20">
        <v>100233.47308369415</v>
      </c>
      <c r="AD84" s="20">
        <v>0</v>
      </c>
      <c r="AE84" s="20">
        <v>0</v>
      </c>
      <c r="AF84" s="20">
        <v>332673.8120664304</v>
      </c>
      <c r="AG84" s="20">
        <v>100233.47308369415</v>
      </c>
      <c r="AH84" s="20">
        <v>332673.8120664304</v>
      </c>
      <c r="AI84" s="20">
        <v>100233.47308369415</v>
      </c>
      <c r="AJ84" s="20">
        <v>332673.8120664304</v>
      </c>
      <c r="AK84" s="20">
        <v>332673.8120664304</v>
      </c>
      <c r="AL84" s="20">
        <v>332673.8120664304</v>
      </c>
      <c r="AM84" s="20">
        <v>332673.8120664304</v>
      </c>
      <c r="AN84" s="20">
        <v>332673.8120664304</v>
      </c>
      <c r="AO84" s="20">
        <v>0</v>
      </c>
      <c r="AP84" s="20">
        <v>0</v>
      </c>
      <c r="AQ84" s="20">
        <v>221782.54137762028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/>
      <c r="AX84" s="20">
        <v>0</v>
      </c>
      <c r="AY84" s="20">
        <v>110891.27068881014</v>
      </c>
      <c r="AZ84" s="20">
        <v>110891.27068881014</v>
      </c>
      <c r="BA84" s="20">
        <v>887130.16551048111</v>
      </c>
      <c r="BB84" s="20">
        <v>200466.94616738829</v>
      </c>
      <c r="BC84" s="20">
        <v>0</v>
      </c>
      <c r="BD84" s="20">
        <v>0</v>
      </c>
      <c r="BE84" s="20">
        <v>1441586.5189545318</v>
      </c>
      <c r="BF84" s="20">
        <v>0</v>
      </c>
      <c r="BG84" s="20">
        <v>221782.54137762028</v>
      </c>
      <c r="BH84" s="21">
        <f>50120-14320</f>
        <v>35800</v>
      </c>
      <c r="BI84" s="21">
        <f>50120-14320</f>
        <v>35800</v>
      </c>
      <c r="BJ84" s="20"/>
      <c r="BK84" s="20">
        <v>0</v>
      </c>
      <c r="BL84" s="20"/>
      <c r="BM84" s="20">
        <v>39380</v>
      </c>
      <c r="BN84" s="20">
        <v>158655.04999999999</v>
      </c>
      <c r="BO84" s="20">
        <v>2561.1799999999998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20">
        <v>0</v>
      </c>
      <c r="CJ84" s="20">
        <v>0</v>
      </c>
      <c r="CK84" s="20">
        <v>0</v>
      </c>
      <c r="CL84" s="20"/>
      <c r="CM84" s="20">
        <v>0</v>
      </c>
      <c r="CN84" s="20">
        <v>0</v>
      </c>
      <c r="CO84" s="20">
        <v>111843.51999999999</v>
      </c>
      <c r="CP84" s="20">
        <v>0</v>
      </c>
      <c r="CQ84" s="20">
        <v>0</v>
      </c>
      <c r="CR84" s="20">
        <v>0</v>
      </c>
      <c r="CS84" s="20">
        <v>5420</v>
      </c>
      <c r="CT84" s="20">
        <v>0</v>
      </c>
      <c r="CU84" s="20">
        <v>24720.363636363636</v>
      </c>
      <c r="CV84" s="20">
        <v>0</v>
      </c>
      <c r="CW84" s="20"/>
      <c r="CX84" s="20">
        <v>0</v>
      </c>
      <c r="CY84" s="20">
        <v>0</v>
      </c>
      <c r="CZ84" s="20">
        <v>0</v>
      </c>
      <c r="DA84" s="20">
        <v>0</v>
      </c>
      <c r="DB84" s="20">
        <v>47200</v>
      </c>
      <c r="DC84" s="20">
        <v>124747.84596025701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/>
      <c r="DJ84" s="20">
        <v>26949.999500066042</v>
      </c>
      <c r="DK84" s="22">
        <v>0</v>
      </c>
      <c r="DL84" s="20">
        <v>0</v>
      </c>
      <c r="DM84" s="20">
        <v>50000</v>
      </c>
      <c r="DN84" s="20">
        <v>8411391.3727772497</v>
      </c>
      <c r="DO84" s="20">
        <f t="shared" si="32"/>
        <v>4679052.6643332792</v>
      </c>
      <c r="DP84" s="21">
        <v>626646</v>
      </c>
      <c r="DQ84" s="20">
        <f t="shared" si="33"/>
        <v>71600</v>
      </c>
      <c r="DR84" s="20">
        <f t="shared" si="34"/>
        <v>87815.634844471118</v>
      </c>
      <c r="DS84" s="20">
        <f t="shared" si="44"/>
        <v>467230.36515552888</v>
      </c>
      <c r="DT84" s="23">
        <f t="shared" si="45"/>
        <v>0.74560495902874813</v>
      </c>
      <c r="DU84" s="20">
        <f t="shared" si="35"/>
        <v>4499556.909389603</v>
      </c>
      <c r="DV84" s="20">
        <f t="shared" si="36"/>
        <v>1309379.6530554895</v>
      </c>
      <c r="DW84" s="20">
        <f t="shared" si="37"/>
        <v>1663369.0603321521</v>
      </c>
      <c r="DX84" s="20">
        <f t="shared" si="38"/>
        <v>200596.22999999998</v>
      </c>
      <c r="DY84" s="20">
        <f t="shared" si="39"/>
        <v>0</v>
      </c>
      <c r="DZ84" s="20">
        <f t="shared" si="40"/>
        <v>0</v>
      </c>
      <c r="EA84" s="20">
        <f t="shared" si="41"/>
        <v>0</v>
      </c>
      <c r="EB84" s="20">
        <f t="shared" si="42"/>
        <v>111843.51999999999</v>
      </c>
      <c r="EC84" s="20">
        <f t="shared" si="46"/>
        <v>467230.36515552888</v>
      </c>
      <c r="ED84" s="20">
        <f t="shared" si="47"/>
        <v>71600</v>
      </c>
      <c r="EE84" s="20">
        <f t="shared" si="47"/>
        <v>87815.634844471118</v>
      </c>
      <c r="EF84" s="20">
        <f t="shared" si="48"/>
        <v>626646</v>
      </c>
      <c r="EG84" s="23">
        <f t="shared" si="49"/>
        <v>0.74560495902874813</v>
      </c>
      <c r="EH84" s="20">
        <f t="shared" si="50"/>
        <v>8411391.3727772441</v>
      </c>
    </row>
    <row r="85" spans="1:138" x14ac:dyDescent="0.25">
      <c r="A85" s="18">
        <v>304</v>
      </c>
      <c r="B85" t="s">
        <v>225</v>
      </c>
      <c r="C85" t="s">
        <v>226</v>
      </c>
      <c r="D85">
        <v>7</v>
      </c>
      <c r="E85">
        <v>127</v>
      </c>
      <c r="F85" s="19">
        <f t="shared" si="43"/>
        <v>0.48031496062992124</v>
      </c>
      <c r="G85">
        <v>61</v>
      </c>
      <c r="H85" s="20">
        <v>191050.75104188372</v>
      </c>
      <c r="I85" s="20">
        <v>110891.27068881014</v>
      </c>
      <c r="J85" s="20">
        <v>0</v>
      </c>
      <c r="K85" s="20">
        <v>0</v>
      </c>
      <c r="L85" s="20">
        <v>0</v>
      </c>
      <c r="M85" s="20">
        <v>44752.529598305518</v>
      </c>
      <c r="N85" s="20">
        <v>59866.796146808359</v>
      </c>
      <c r="O85" s="20">
        <v>0</v>
      </c>
      <c r="P85" s="20">
        <v>0</v>
      </c>
      <c r="Q85" s="20">
        <v>0</v>
      </c>
      <c r="R85" s="20"/>
      <c r="S85" s="20">
        <v>77625.750694703253</v>
      </c>
      <c r="T85" s="20">
        <v>60676.224767295193</v>
      </c>
      <c r="U85" s="20">
        <v>49716.317374927377</v>
      </c>
      <c r="V85" s="20">
        <v>55445.635344405069</v>
      </c>
      <c r="W85" s="20">
        <v>110891.27068881014</v>
      </c>
      <c r="X85" s="20">
        <v>110891.27068881014</v>
      </c>
      <c r="Y85" s="20">
        <v>110891.27068881014</v>
      </c>
      <c r="Z85" s="20">
        <v>0</v>
      </c>
      <c r="AA85" s="20"/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587723.73465069372</v>
      </c>
      <c r="AW85" s="20"/>
      <c r="AX85" s="20">
        <v>0</v>
      </c>
      <c r="AY85" s="20">
        <v>110891.27068881014</v>
      </c>
      <c r="AZ85" s="20">
        <v>55445.635344405069</v>
      </c>
      <c r="BA85" s="20">
        <v>2328716.684465013</v>
      </c>
      <c r="BB85" s="20">
        <v>768456.6269749885</v>
      </c>
      <c r="BC85" s="20">
        <v>96655.873025941983</v>
      </c>
      <c r="BD85" s="20">
        <v>0</v>
      </c>
      <c r="BE85" s="20">
        <v>110891.27068881014</v>
      </c>
      <c r="BF85" s="20">
        <v>0</v>
      </c>
      <c r="BG85" s="20">
        <v>0</v>
      </c>
      <c r="BH85" s="21">
        <v>14320</v>
      </c>
      <c r="BI85" s="21">
        <f>28640-7160</f>
        <v>21480</v>
      </c>
      <c r="BJ85" s="20"/>
      <c r="BK85" s="20">
        <v>0</v>
      </c>
      <c r="BL85" s="20"/>
      <c r="BM85" s="20">
        <v>17900</v>
      </c>
      <c r="BN85" s="20">
        <v>55402.73</v>
      </c>
      <c r="BO85" s="20">
        <v>916.58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221782.54137762028</v>
      </c>
      <c r="CL85" s="20"/>
      <c r="CM85" s="20">
        <v>23000</v>
      </c>
      <c r="CN85" s="20">
        <v>5000</v>
      </c>
      <c r="CO85" s="20">
        <v>111843.51999999999</v>
      </c>
      <c r="CP85" s="20">
        <v>100000</v>
      </c>
      <c r="CQ85" s="20">
        <v>0</v>
      </c>
      <c r="CR85" s="20">
        <v>0</v>
      </c>
      <c r="CS85" s="20">
        <v>1220</v>
      </c>
      <c r="CT85" s="20">
        <v>0</v>
      </c>
      <c r="CU85" s="20">
        <v>13628.475</v>
      </c>
      <c r="CV85" s="20">
        <v>0</v>
      </c>
      <c r="CW85" s="20"/>
      <c r="CX85" s="20">
        <v>0</v>
      </c>
      <c r="CY85" s="20">
        <v>0</v>
      </c>
      <c r="CZ85" s="20">
        <v>0</v>
      </c>
      <c r="DA85" s="20">
        <v>0</v>
      </c>
      <c r="DB85" s="20">
        <v>12700</v>
      </c>
      <c r="DC85" s="20">
        <v>86348.529871531602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/>
      <c r="DJ85" s="20">
        <v>7053</v>
      </c>
      <c r="DK85" s="22">
        <v>0</v>
      </c>
      <c r="DL85" s="20">
        <v>0</v>
      </c>
      <c r="DM85" s="20">
        <v>0</v>
      </c>
      <c r="DN85" s="20">
        <v>5734075.5598113826</v>
      </c>
      <c r="DO85" s="20">
        <f t="shared" si="32"/>
        <v>1844864.0757864888</v>
      </c>
      <c r="DP85" s="21">
        <v>141053</v>
      </c>
      <c r="DQ85" s="20">
        <f t="shared" si="33"/>
        <v>35800</v>
      </c>
      <c r="DR85" s="20">
        <f t="shared" si="34"/>
        <v>8273</v>
      </c>
      <c r="DS85" s="20">
        <f t="shared" si="44"/>
        <v>96980</v>
      </c>
      <c r="DT85" s="23">
        <f t="shared" si="45"/>
        <v>0.68754298029818584</v>
      </c>
      <c r="DU85" s="20">
        <f t="shared" si="35"/>
        <v>1935902.3686234148</v>
      </c>
      <c r="DV85" s="20">
        <f t="shared" si="36"/>
        <v>3360166.0904991585</v>
      </c>
      <c r="DW85" s="20">
        <f t="shared" si="37"/>
        <v>110891.27068881014</v>
      </c>
      <c r="DX85" s="20">
        <f t="shared" si="38"/>
        <v>74219.310000000012</v>
      </c>
      <c r="DY85" s="20">
        <f t="shared" si="39"/>
        <v>0</v>
      </c>
      <c r="DZ85" s="20">
        <f t="shared" si="40"/>
        <v>0</v>
      </c>
      <c r="EA85" s="20">
        <f t="shared" si="41"/>
        <v>0</v>
      </c>
      <c r="EB85" s="20">
        <f t="shared" si="42"/>
        <v>111843.51999999999</v>
      </c>
      <c r="EC85" s="20">
        <f t="shared" si="46"/>
        <v>96980</v>
      </c>
      <c r="ED85" s="20">
        <f t="shared" si="47"/>
        <v>35800</v>
      </c>
      <c r="EE85" s="20">
        <f t="shared" si="47"/>
        <v>8273</v>
      </c>
      <c r="EF85" s="20">
        <f t="shared" si="48"/>
        <v>141053</v>
      </c>
      <c r="EG85" s="23">
        <f t="shared" si="49"/>
        <v>0.68754298029818584</v>
      </c>
      <c r="EH85" s="20">
        <f t="shared" si="50"/>
        <v>5734075.5598113826</v>
      </c>
    </row>
    <row r="86" spans="1:138" x14ac:dyDescent="0.25">
      <c r="A86" s="18">
        <v>436</v>
      </c>
      <c r="B86" t="s">
        <v>227</v>
      </c>
      <c r="C86" t="s">
        <v>138</v>
      </c>
      <c r="D86">
        <v>7</v>
      </c>
      <c r="E86">
        <v>276</v>
      </c>
      <c r="F86" s="19">
        <f t="shared" si="43"/>
        <v>0.94565217391304346</v>
      </c>
      <c r="G86">
        <v>261</v>
      </c>
      <c r="H86" s="20">
        <v>191050.75104188372</v>
      </c>
      <c r="I86" s="20">
        <v>110891.27068881014</v>
      </c>
      <c r="J86" s="20">
        <v>137623.27429498945</v>
      </c>
      <c r="K86" s="20">
        <v>0</v>
      </c>
      <c r="L86" s="20">
        <v>187138.29131332185</v>
      </c>
      <c r="M86" s="20">
        <v>44752.529598305518</v>
      </c>
      <c r="N86" s="20">
        <v>59866.796146808359</v>
      </c>
      <c r="O86" s="20">
        <v>0</v>
      </c>
      <c r="P86" s="20">
        <v>49534.351124581444</v>
      </c>
      <c r="Q86" s="20">
        <v>69924.031375330247</v>
      </c>
      <c r="R86" s="20"/>
      <c r="S86" s="20">
        <v>77625.750694703253</v>
      </c>
      <c r="T86" s="20">
        <v>60676.224767295193</v>
      </c>
      <c r="U86" s="20">
        <v>198865.26949970951</v>
      </c>
      <c r="V86" s="20">
        <v>55445.635344405069</v>
      </c>
      <c r="W86" s="20">
        <v>0</v>
      </c>
      <c r="X86" s="20">
        <v>0</v>
      </c>
      <c r="Y86" s="20">
        <v>0</v>
      </c>
      <c r="Z86" s="20">
        <v>0</v>
      </c>
      <c r="AA86" s="20"/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f>E86/24*AW$120</f>
        <v>1275249.6129213166</v>
      </c>
      <c r="AX86" s="20">
        <f>2224786.51789325-AW86</f>
        <v>949536.90497193346</v>
      </c>
      <c r="AY86" s="20">
        <v>166336.9060332152</v>
      </c>
      <c r="AZ86" s="20">
        <v>221782.54137762028</v>
      </c>
      <c r="BA86" s="20">
        <v>776238.89482167095</v>
      </c>
      <c r="BB86" s="20">
        <v>0</v>
      </c>
      <c r="BC86" s="20">
        <v>0</v>
      </c>
      <c r="BD86" s="20">
        <v>0</v>
      </c>
      <c r="BE86" s="20">
        <v>10081.024608073649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50000</v>
      </c>
      <c r="BL86" s="20"/>
      <c r="BM86" s="20">
        <v>0</v>
      </c>
      <c r="BN86" s="20">
        <v>107396.06</v>
      </c>
      <c r="BO86" s="20">
        <v>1776.75</v>
      </c>
      <c r="BP86" s="20">
        <v>0</v>
      </c>
      <c r="BQ86" s="20">
        <v>0</v>
      </c>
      <c r="BR86" s="20">
        <v>0</v>
      </c>
      <c r="BS86" s="20">
        <v>0</v>
      </c>
      <c r="BT86" s="20">
        <v>110891.27068881014</v>
      </c>
      <c r="BU86" s="20">
        <v>0</v>
      </c>
      <c r="BV86" s="20">
        <v>0</v>
      </c>
      <c r="BW86" s="20">
        <v>152914.74921665495</v>
      </c>
      <c r="BX86" s="20">
        <v>11199.78</v>
      </c>
      <c r="BY86" s="20">
        <v>24000</v>
      </c>
      <c r="BZ86" s="20">
        <v>0</v>
      </c>
      <c r="CA86" s="20">
        <v>0</v>
      </c>
      <c r="CB86" s="20">
        <v>0</v>
      </c>
      <c r="CC86" s="20">
        <v>0</v>
      </c>
      <c r="CD86" s="20">
        <v>38000</v>
      </c>
      <c r="CE86" s="20">
        <v>221782.54137762028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/>
      <c r="CM86" s="20">
        <v>0</v>
      </c>
      <c r="CN86" s="20">
        <v>0</v>
      </c>
      <c r="CO86" s="20">
        <v>299967.68</v>
      </c>
      <c r="CP86" s="20">
        <v>0</v>
      </c>
      <c r="CQ86" s="20">
        <v>114084.97559574516</v>
      </c>
      <c r="CR86" s="20">
        <v>75000</v>
      </c>
      <c r="CS86" s="20">
        <v>10440</v>
      </c>
      <c r="CT86" s="20">
        <v>0</v>
      </c>
      <c r="CU86" s="20">
        <v>38736.199999999997</v>
      </c>
      <c r="CV86" s="20">
        <v>114084.97559574516</v>
      </c>
      <c r="CW86" s="20"/>
      <c r="CX86" s="20">
        <v>0</v>
      </c>
      <c r="CY86" s="20">
        <v>0</v>
      </c>
      <c r="CZ86" s="20">
        <v>0</v>
      </c>
      <c r="DA86" s="20">
        <v>0</v>
      </c>
      <c r="DB86" s="20">
        <v>27600</v>
      </c>
      <c r="DC86" s="20">
        <v>80205.068648318789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/>
      <c r="DJ86" s="20">
        <v>13474.999852478504</v>
      </c>
      <c r="DK86" s="22">
        <v>0</v>
      </c>
      <c r="DL86" s="20">
        <v>371801.50287601713</v>
      </c>
      <c r="DM86" s="20">
        <v>300000</v>
      </c>
      <c r="DN86" s="20">
        <v>6805976.6144753601</v>
      </c>
      <c r="DO86" s="20">
        <f t="shared" si="32"/>
        <v>2663885.3294714368</v>
      </c>
      <c r="DP86" s="21">
        <v>603523</v>
      </c>
      <c r="DQ86" s="20">
        <f t="shared" si="33"/>
        <v>50000</v>
      </c>
      <c r="DR86" s="20">
        <f t="shared" si="34"/>
        <v>1424542.6803256224</v>
      </c>
      <c r="DS86" s="20">
        <f t="shared" si="44"/>
        <v>-871019.68032562244</v>
      </c>
      <c r="DT86" s="23">
        <f t="shared" si="45"/>
        <v>-1.4432253291517017</v>
      </c>
      <c r="DU86" s="20">
        <f t="shared" si="35"/>
        <v>4172072.2547587669</v>
      </c>
      <c r="DV86" s="20">
        <f t="shared" si="36"/>
        <v>1164358.3422325065</v>
      </c>
      <c r="DW86" s="20">
        <f t="shared" si="37"/>
        <v>10081.024608073649</v>
      </c>
      <c r="DX86" s="20">
        <f t="shared" si="38"/>
        <v>184172.81</v>
      </c>
      <c r="DY86" s="20">
        <f t="shared" si="39"/>
        <v>0</v>
      </c>
      <c r="DZ86" s="20">
        <f t="shared" si="40"/>
        <v>0</v>
      </c>
      <c r="EA86" s="20">
        <f t="shared" si="41"/>
        <v>371801.50287601713</v>
      </c>
      <c r="EB86" s="20">
        <f t="shared" si="42"/>
        <v>299967.68</v>
      </c>
      <c r="EC86" s="20">
        <f t="shared" si="46"/>
        <v>-871019.68032562244</v>
      </c>
      <c r="ED86" s="20">
        <f t="shared" si="47"/>
        <v>50000</v>
      </c>
      <c r="EE86" s="20">
        <f t="shared" si="47"/>
        <v>1424542.6803256224</v>
      </c>
      <c r="EF86" s="20">
        <f t="shared" si="48"/>
        <v>603523</v>
      </c>
      <c r="EG86" s="23">
        <f t="shared" si="49"/>
        <v>-1.4432253291517017</v>
      </c>
      <c r="EH86" s="20">
        <f t="shared" si="50"/>
        <v>6805976.6144753639</v>
      </c>
    </row>
    <row r="87" spans="1:138" x14ac:dyDescent="0.25">
      <c r="A87" s="18">
        <v>459</v>
      </c>
      <c r="B87" t="s">
        <v>228</v>
      </c>
      <c r="C87" t="s">
        <v>138</v>
      </c>
      <c r="D87">
        <v>4</v>
      </c>
      <c r="E87">
        <v>820</v>
      </c>
      <c r="F87" s="19">
        <f t="shared" si="43"/>
        <v>0.69390243902439019</v>
      </c>
      <c r="G87">
        <v>569</v>
      </c>
      <c r="H87" s="20">
        <v>191050.75104188372</v>
      </c>
      <c r="I87" s="20">
        <v>110891.27068881014</v>
      </c>
      <c r="J87" s="20">
        <v>412869.82288496837</v>
      </c>
      <c r="K87" s="20">
        <v>0</v>
      </c>
      <c r="L87" s="20">
        <v>436656.01306441764</v>
      </c>
      <c r="M87" s="20">
        <v>89505.059196611037</v>
      </c>
      <c r="N87" s="20">
        <v>59866.796146808359</v>
      </c>
      <c r="O87" s="20">
        <v>94145.507144429313</v>
      </c>
      <c r="P87" s="20">
        <v>49534.351124581444</v>
      </c>
      <c r="Q87" s="20">
        <v>69924.031375330247</v>
      </c>
      <c r="R87" s="20"/>
      <c r="S87" s="20">
        <v>77625.750694703253</v>
      </c>
      <c r="T87" s="20">
        <v>60676.224767295193</v>
      </c>
      <c r="U87" s="20">
        <v>397730.53899941902</v>
      </c>
      <c r="V87" s="20">
        <v>110891.27068881014</v>
      </c>
      <c r="W87" s="20">
        <v>0</v>
      </c>
      <c r="X87" s="20">
        <v>0</v>
      </c>
      <c r="Y87" s="20">
        <v>0</v>
      </c>
      <c r="Z87" s="20">
        <v>0</v>
      </c>
      <c r="AA87" s="20"/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f t="shared" ref="AW87" si="51">E87/24*AW$120</f>
        <v>3788785.0818676795</v>
      </c>
      <c r="AX87" s="20">
        <f>4645744.51417744-AW87</f>
        <v>856959.43230976025</v>
      </c>
      <c r="AY87" s="20">
        <v>110891.27068881014</v>
      </c>
      <c r="AZ87" s="20">
        <v>443565.08275524055</v>
      </c>
      <c r="BA87" s="20">
        <v>1663369.0603321521</v>
      </c>
      <c r="BB87" s="20">
        <v>233878.10386195302</v>
      </c>
      <c r="BC87" s="20">
        <v>48327.936512970991</v>
      </c>
      <c r="BD87" s="20">
        <v>0</v>
      </c>
      <c r="BE87" s="20">
        <v>1774260.3310209622</v>
      </c>
      <c r="BF87" s="20">
        <v>66822.315389129435</v>
      </c>
      <c r="BG87" s="20">
        <v>374276.58262664371</v>
      </c>
      <c r="BH87" s="20">
        <v>0</v>
      </c>
      <c r="BI87" s="20">
        <v>0</v>
      </c>
      <c r="BJ87" s="20">
        <v>0</v>
      </c>
      <c r="BK87" s="20">
        <v>85000</v>
      </c>
      <c r="BL87" s="20"/>
      <c r="BM87" s="20">
        <v>0</v>
      </c>
      <c r="BN87" s="20">
        <v>235681</v>
      </c>
      <c r="BO87" s="20">
        <v>3804.62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152914.74921665495</v>
      </c>
      <c r="BX87" s="20">
        <v>11639.78</v>
      </c>
      <c r="BY87" s="20">
        <v>23560</v>
      </c>
      <c r="BZ87" s="20">
        <v>0</v>
      </c>
      <c r="CA87" s="20">
        <v>0</v>
      </c>
      <c r="CB87" s="20">
        <v>0</v>
      </c>
      <c r="CC87" s="20">
        <v>0</v>
      </c>
      <c r="CD87" s="20">
        <v>44000</v>
      </c>
      <c r="CE87" s="20">
        <v>221782.54137762028</v>
      </c>
      <c r="CF87" s="20">
        <v>0</v>
      </c>
      <c r="CG87" s="20">
        <v>140126.11598983698</v>
      </c>
      <c r="CH87" s="20">
        <v>0</v>
      </c>
      <c r="CI87" s="20">
        <v>0</v>
      </c>
      <c r="CJ87" s="20">
        <v>110891.27068881014</v>
      </c>
      <c r="CK87" s="20">
        <v>0</v>
      </c>
      <c r="CL87" s="20"/>
      <c r="CM87" s="20">
        <v>0</v>
      </c>
      <c r="CN87" s="20">
        <v>0</v>
      </c>
      <c r="CO87" s="20">
        <v>544013.6</v>
      </c>
      <c r="CP87" s="20">
        <v>0</v>
      </c>
      <c r="CQ87" s="20">
        <v>114084.97559574516</v>
      </c>
      <c r="CR87" s="20">
        <v>75000</v>
      </c>
      <c r="CS87" s="20">
        <v>11380</v>
      </c>
      <c r="CT87" s="20">
        <v>0</v>
      </c>
      <c r="CU87" s="20">
        <v>112767.02564102564</v>
      </c>
      <c r="CV87" s="20">
        <v>114084.97559574516</v>
      </c>
      <c r="CW87" s="20"/>
      <c r="CX87" s="20">
        <v>0</v>
      </c>
      <c r="CY87" s="20">
        <v>0</v>
      </c>
      <c r="CZ87" s="20">
        <v>5000</v>
      </c>
      <c r="DA87" s="20">
        <v>113945.66</v>
      </c>
      <c r="DB87" s="20">
        <v>82000</v>
      </c>
      <c r="DC87" s="20">
        <v>189136.64669372505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/>
      <c r="DJ87" s="20">
        <v>40125.000212341547</v>
      </c>
      <c r="DK87" s="22">
        <v>0</v>
      </c>
      <c r="DL87" s="20">
        <v>0</v>
      </c>
      <c r="DM87" s="20">
        <v>0</v>
      </c>
      <c r="DN87" s="20">
        <v>13953440.206194874</v>
      </c>
      <c r="DO87" s="20">
        <f t="shared" si="32"/>
        <v>6133891.1445324458</v>
      </c>
      <c r="DP87" s="21">
        <v>1315726</v>
      </c>
      <c r="DQ87" s="20">
        <f t="shared" si="33"/>
        <v>85000</v>
      </c>
      <c r="DR87" s="20">
        <f t="shared" si="34"/>
        <v>1394790.053324339</v>
      </c>
      <c r="DS87" s="20">
        <f t="shared" si="44"/>
        <v>-164064.05332433898</v>
      </c>
      <c r="DT87" s="23">
        <f t="shared" si="45"/>
        <v>-0.12469469579862295</v>
      </c>
      <c r="DU87" s="20">
        <f t="shared" si="35"/>
        <v>7063824.643007013</v>
      </c>
      <c r="DV87" s="20">
        <f t="shared" si="36"/>
        <v>2500031.4541511266</v>
      </c>
      <c r="DW87" s="20">
        <f t="shared" si="37"/>
        <v>2215359.2290367354</v>
      </c>
      <c r="DX87" s="20">
        <f t="shared" si="38"/>
        <v>314485.62</v>
      </c>
      <c r="DY87" s="20">
        <f t="shared" si="39"/>
        <v>0</v>
      </c>
      <c r="DZ87" s="20">
        <f t="shared" si="40"/>
        <v>0</v>
      </c>
      <c r="EA87" s="20">
        <f t="shared" si="41"/>
        <v>0</v>
      </c>
      <c r="EB87" s="20">
        <f t="shared" si="42"/>
        <v>544013.6</v>
      </c>
      <c r="EC87" s="20">
        <f t="shared" si="46"/>
        <v>-164064.05332433898</v>
      </c>
      <c r="ED87" s="20">
        <f t="shared" si="47"/>
        <v>85000</v>
      </c>
      <c r="EE87" s="20">
        <f t="shared" si="47"/>
        <v>1394790.053324339</v>
      </c>
      <c r="EF87" s="20">
        <f t="shared" si="48"/>
        <v>1315726</v>
      </c>
      <c r="EG87" s="23">
        <f t="shared" si="49"/>
        <v>-0.12469469579862295</v>
      </c>
      <c r="EH87" s="20">
        <f t="shared" si="50"/>
        <v>13953440.546194874</v>
      </c>
    </row>
    <row r="88" spans="1:138" x14ac:dyDescent="0.25">
      <c r="A88" s="18">
        <v>456</v>
      </c>
      <c r="B88" t="s">
        <v>229</v>
      </c>
      <c r="C88" t="s">
        <v>141</v>
      </c>
      <c r="D88">
        <v>4</v>
      </c>
      <c r="E88">
        <v>675</v>
      </c>
      <c r="F88" s="19">
        <f t="shared" si="43"/>
        <v>0</v>
      </c>
      <c r="G88">
        <v>0</v>
      </c>
      <c r="H88" s="20">
        <v>191050.75104188372</v>
      </c>
      <c r="I88" s="20">
        <v>110891.27068881014</v>
      </c>
      <c r="J88" s="20">
        <v>152914.74921665495</v>
      </c>
      <c r="K88" s="20">
        <v>0</v>
      </c>
      <c r="L88" s="20">
        <v>311897.15218886972</v>
      </c>
      <c r="M88" s="20">
        <v>0</v>
      </c>
      <c r="N88" s="20">
        <v>59866.796146808359</v>
      </c>
      <c r="O88" s="20">
        <v>76213.029593109444</v>
      </c>
      <c r="P88" s="20">
        <v>49534.351124581444</v>
      </c>
      <c r="Q88" s="20">
        <v>69924.031375330247</v>
      </c>
      <c r="R88" s="20"/>
      <c r="S88" s="20">
        <v>77625.750694703253</v>
      </c>
      <c r="T88" s="20">
        <v>60676.224767295193</v>
      </c>
      <c r="U88" s="20">
        <v>49716.317374927377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/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2749179.4191600801</v>
      </c>
      <c r="AX88" s="20"/>
      <c r="AY88" s="20">
        <v>110891.27068881014</v>
      </c>
      <c r="AZ88" s="20">
        <v>332673.8120664304</v>
      </c>
      <c r="BA88" s="20">
        <v>1108912.7068881013</v>
      </c>
      <c r="BB88" s="20">
        <v>0</v>
      </c>
      <c r="BC88" s="20">
        <v>0</v>
      </c>
      <c r="BD88" s="20">
        <v>0</v>
      </c>
      <c r="BE88" s="20">
        <v>1219803.9775769114</v>
      </c>
      <c r="BF88" s="20">
        <v>33411.157694564718</v>
      </c>
      <c r="BG88" s="20">
        <v>221782.54137762028</v>
      </c>
      <c r="BH88" s="20">
        <v>0</v>
      </c>
      <c r="BI88" s="20">
        <v>0</v>
      </c>
      <c r="BJ88" s="20">
        <v>0</v>
      </c>
      <c r="BK88" s="20"/>
      <c r="BL88" s="20">
        <v>70000</v>
      </c>
      <c r="BM88" s="20">
        <v>0</v>
      </c>
      <c r="BN88" s="20">
        <v>0</v>
      </c>
      <c r="BO88" s="20">
        <v>0</v>
      </c>
      <c r="BP88" s="20">
        <v>19025</v>
      </c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  <c r="BZ88" s="20">
        <v>0</v>
      </c>
      <c r="CA88" s="20">
        <v>0</v>
      </c>
      <c r="CB88" s="20">
        <v>0</v>
      </c>
      <c r="CC88" s="20">
        <v>0</v>
      </c>
      <c r="CD88" s="20">
        <v>0</v>
      </c>
      <c r="CE88" s="20">
        <v>0</v>
      </c>
      <c r="CF88" s="20">
        <v>0</v>
      </c>
      <c r="CG88" s="20">
        <v>0</v>
      </c>
      <c r="CH88" s="20">
        <v>0</v>
      </c>
      <c r="CI88" s="20">
        <v>0</v>
      </c>
      <c r="CJ88" s="20">
        <v>0</v>
      </c>
      <c r="CK88" s="20">
        <v>0</v>
      </c>
      <c r="CL88" s="20"/>
      <c r="CM88" s="20">
        <v>0</v>
      </c>
      <c r="CN88" s="20">
        <v>0</v>
      </c>
      <c r="CO88" s="20">
        <v>223687.03999999998</v>
      </c>
      <c r="CP88" s="20">
        <v>0</v>
      </c>
      <c r="CQ88" s="20">
        <v>0</v>
      </c>
      <c r="CR88" s="20">
        <v>75000</v>
      </c>
      <c r="CS88" s="20">
        <v>0</v>
      </c>
      <c r="CT88" s="20">
        <v>0</v>
      </c>
      <c r="CU88" s="20">
        <v>83239.03571428571</v>
      </c>
      <c r="CV88" s="20"/>
      <c r="CW88" s="20">
        <v>114084.97559574516</v>
      </c>
      <c r="CX88" s="20">
        <v>150000</v>
      </c>
      <c r="CY88" s="20">
        <v>0</v>
      </c>
      <c r="CZ88" s="20">
        <v>0</v>
      </c>
      <c r="DA88" s="20">
        <v>0</v>
      </c>
      <c r="DB88" s="20">
        <v>67500</v>
      </c>
      <c r="DC88" s="20">
        <v>114326.90959270598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5224.9999221414328</v>
      </c>
      <c r="DJ88" s="20"/>
      <c r="DK88" s="22">
        <v>0</v>
      </c>
      <c r="DL88" s="20">
        <v>0</v>
      </c>
      <c r="DM88" s="20">
        <v>0</v>
      </c>
      <c r="DN88" s="20">
        <v>7909053.2704903744</v>
      </c>
      <c r="DO88" s="20">
        <f t="shared" si="32"/>
        <v>4036537.4958431199</v>
      </c>
      <c r="DP88" s="21">
        <v>0</v>
      </c>
      <c r="DQ88" s="20">
        <f t="shared" si="33"/>
        <v>0</v>
      </c>
      <c r="DR88" s="20">
        <f t="shared" si="34"/>
        <v>0</v>
      </c>
      <c r="DS88" s="20">
        <f t="shared" si="44"/>
        <v>0</v>
      </c>
      <c r="DT88" s="24" t="s">
        <v>142</v>
      </c>
      <c r="DU88" s="20">
        <f t="shared" si="35"/>
        <v>4563865.7641979316</v>
      </c>
      <c r="DV88" s="20">
        <f t="shared" si="36"/>
        <v>1552477.7896433419</v>
      </c>
      <c r="DW88" s="20">
        <f t="shared" si="37"/>
        <v>1474997.6766490964</v>
      </c>
      <c r="DX88" s="20">
        <f t="shared" si="38"/>
        <v>94025</v>
      </c>
      <c r="DY88" s="20">
        <f t="shared" si="39"/>
        <v>0</v>
      </c>
      <c r="DZ88" s="20">
        <f t="shared" si="40"/>
        <v>0</v>
      </c>
      <c r="EA88" s="20">
        <f t="shared" si="41"/>
        <v>0</v>
      </c>
      <c r="EB88" s="20">
        <f t="shared" si="42"/>
        <v>223687.03999999998</v>
      </c>
      <c r="EC88" s="20">
        <f t="shared" si="46"/>
        <v>0</v>
      </c>
      <c r="ED88" s="20">
        <f t="shared" si="47"/>
        <v>0</v>
      </c>
      <c r="EE88" s="20">
        <f t="shared" si="47"/>
        <v>0</v>
      </c>
      <c r="EF88" s="20">
        <f t="shared" si="48"/>
        <v>0</v>
      </c>
      <c r="EG88" s="24" t="s">
        <v>142</v>
      </c>
      <c r="EH88" s="20">
        <f t="shared" si="50"/>
        <v>7909053.2704903698</v>
      </c>
    </row>
    <row r="89" spans="1:138" x14ac:dyDescent="0.25">
      <c r="A89" s="18">
        <v>305</v>
      </c>
      <c r="B89" t="s">
        <v>230</v>
      </c>
      <c r="C89" t="s">
        <v>135</v>
      </c>
      <c r="D89">
        <v>2</v>
      </c>
      <c r="E89">
        <v>184</v>
      </c>
      <c r="F89" s="19">
        <f t="shared" si="43"/>
        <v>2.1739130434782608E-2</v>
      </c>
      <c r="G89">
        <v>4</v>
      </c>
      <c r="H89" s="20">
        <v>191050.75104188372</v>
      </c>
      <c r="I89" s="20">
        <v>110891.27068881014</v>
      </c>
      <c r="J89" s="20">
        <v>0</v>
      </c>
      <c r="K89" s="20">
        <v>0</v>
      </c>
      <c r="L89" s="20">
        <v>0</v>
      </c>
      <c r="M89" s="20">
        <v>44752.529598305518</v>
      </c>
      <c r="N89" s="20">
        <v>59866.796146808359</v>
      </c>
      <c r="O89" s="20">
        <v>0</v>
      </c>
      <c r="P89" s="20">
        <v>0</v>
      </c>
      <c r="Q89" s="20">
        <v>0</v>
      </c>
      <c r="R89" s="20"/>
      <c r="S89" s="20">
        <v>77625.750694703253</v>
      </c>
      <c r="T89" s="20">
        <v>60676.224767295193</v>
      </c>
      <c r="U89" s="20">
        <v>49716.317374927377</v>
      </c>
      <c r="V89" s="20">
        <v>55445.635344405069</v>
      </c>
      <c r="W89" s="20">
        <v>110891.27068881014</v>
      </c>
      <c r="X89" s="20">
        <v>110891.27068881014</v>
      </c>
      <c r="Y89" s="20">
        <v>110891.27068881014</v>
      </c>
      <c r="Z89" s="20">
        <f>110891.27068881-AA89</f>
        <v>-1.4551915228366852E-10</v>
      </c>
      <c r="AA89" s="20">
        <v>110891.27068881014</v>
      </c>
      <c r="AB89" s="20">
        <v>0</v>
      </c>
      <c r="AC89" s="20">
        <v>0</v>
      </c>
      <c r="AD89" s="20">
        <v>0</v>
      </c>
      <c r="AE89" s="20">
        <v>0</v>
      </c>
      <c r="AF89" s="20">
        <v>110891.27068881014</v>
      </c>
      <c r="AG89" s="20">
        <v>33411.157694564718</v>
      </c>
      <c r="AH89" s="20">
        <v>221782.54137762028</v>
      </c>
      <c r="AI89" s="20">
        <v>66822.315389129435</v>
      </c>
      <c r="AJ89" s="20">
        <v>221782.54137762028</v>
      </c>
      <c r="AK89" s="20">
        <v>221782.54137762028</v>
      </c>
      <c r="AL89" s="20">
        <v>110891.27068881014</v>
      </c>
      <c r="AM89" s="20">
        <v>110891.27068881014</v>
      </c>
      <c r="AN89" s="20">
        <v>110891.27068881014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/>
      <c r="AX89" s="20">
        <v>0</v>
      </c>
      <c r="AY89" s="20">
        <v>55445.635344405069</v>
      </c>
      <c r="AZ89" s="20">
        <v>110891.27068881014</v>
      </c>
      <c r="BA89" s="20">
        <v>221782.54137762028</v>
      </c>
      <c r="BB89" s="20">
        <v>0</v>
      </c>
      <c r="BC89" s="20">
        <v>0</v>
      </c>
      <c r="BD89" s="20">
        <v>0</v>
      </c>
      <c r="BE89" s="20">
        <v>221782.54137762028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/>
      <c r="BM89" s="20">
        <v>0</v>
      </c>
      <c r="BN89" s="20">
        <v>0</v>
      </c>
      <c r="BO89" s="20">
        <v>0</v>
      </c>
      <c r="BP89" s="20">
        <v>4425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/>
      <c r="CM89" s="20">
        <v>0</v>
      </c>
      <c r="CN89" s="20">
        <v>0</v>
      </c>
      <c r="CO89" s="20">
        <v>55921.759999999995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11262.909090909092</v>
      </c>
      <c r="CV89" s="20">
        <v>0</v>
      </c>
      <c r="CW89" s="20"/>
      <c r="CX89" s="20">
        <v>0</v>
      </c>
      <c r="CY89" s="20">
        <v>0</v>
      </c>
      <c r="CZ89" s="20">
        <v>0</v>
      </c>
      <c r="DA89" s="20">
        <v>0</v>
      </c>
      <c r="DB89" s="20">
        <v>18400</v>
      </c>
      <c r="DC89" s="20">
        <v>46893.480287479353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/>
      <c r="DJ89" s="20">
        <v>525</v>
      </c>
      <c r="DK89" s="22">
        <v>0</v>
      </c>
      <c r="DL89" s="20">
        <v>0</v>
      </c>
      <c r="DM89" s="20">
        <v>0</v>
      </c>
      <c r="DN89" s="20">
        <v>3050066.6765510188</v>
      </c>
      <c r="DO89" s="20">
        <f t="shared" si="32"/>
        <v>2080383.364236827</v>
      </c>
      <c r="DP89" s="21">
        <v>9249</v>
      </c>
      <c r="DQ89" s="20">
        <f t="shared" si="33"/>
        <v>0</v>
      </c>
      <c r="DR89" s="20">
        <f t="shared" si="34"/>
        <v>111416.27068881014</v>
      </c>
      <c r="DS89" s="20">
        <f t="shared" si="44"/>
        <v>-102167.27068881014</v>
      </c>
      <c r="DT89" s="23">
        <f t="shared" si="45"/>
        <v>-11.046304539821618</v>
      </c>
      <c r="DU89" s="20">
        <f t="shared" si="35"/>
        <v>2370568.9277625629</v>
      </c>
      <c r="DV89" s="20">
        <f t="shared" si="36"/>
        <v>388119.44741083548</v>
      </c>
      <c r="DW89" s="20">
        <f t="shared" si="37"/>
        <v>221782.54137762028</v>
      </c>
      <c r="DX89" s="20">
        <f t="shared" si="38"/>
        <v>4425</v>
      </c>
      <c r="DY89" s="20">
        <f t="shared" si="39"/>
        <v>0</v>
      </c>
      <c r="DZ89" s="20">
        <f t="shared" si="40"/>
        <v>0</v>
      </c>
      <c r="EA89" s="20">
        <f t="shared" si="41"/>
        <v>0</v>
      </c>
      <c r="EB89" s="20">
        <f t="shared" si="42"/>
        <v>55921.759999999995</v>
      </c>
      <c r="EC89" s="20">
        <f t="shared" si="46"/>
        <v>-102167.27068881014</v>
      </c>
      <c r="ED89" s="20">
        <f t="shared" si="47"/>
        <v>0</v>
      </c>
      <c r="EE89" s="20">
        <f t="shared" si="47"/>
        <v>111416.27068881014</v>
      </c>
      <c r="EF89" s="20">
        <f t="shared" si="48"/>
        <v>9249</v>
      </c>
      <c r="EG89" s="23">
        <f t="shared" si="49"/>
        <v>-11.046304539821618</v>
      </c>
      <c r="EH89" s="20">
        <f t="shared" si="50"/>
        <v>3050066.6765510184</v>
      </c>
    </row>
    <row r="90" spans="1:138" x14ac:dyDescent="0.25">
      <c r="A90" s="18">
        <v>307</v>
      </c>
      <c r="B90" t="s">
        <v>231</v>
      </c>
      <c r="C90" t="s">
        <v>135</v>
      </c>
      <c r="D90">
        <v>8</v>
      </c>
      <c r="E90">
        <v>276</v>
      </c>
      <c r="F90" s="19">
        <f t="shared" si="43"/>
        <v>0.8188405797101449</v>
      </c>
      <c r="G90">
        <v>226</v>
      </c>
      <c r="H90" s="20">
        <v>191050.75104188372</v>
      </c>
      <c r="I90" s="20">
        <v>110891.27068881014</v>
      </c>
      <c r="J90" s="20">
        <v>0</v>
      </c>
      <c r="K90" s="20">
        <v>0</v>
      </c>
      <c r="L90" s="20">
        <v>0</v>
      </c>
      <c r="M90" s="20">
        <v>44752.529598305518</v>
      </c>
      <c r="N90" s="20">
        <v>59866.796146808359</v>
      </c>
      <c r="O90" s="20">
        <v>0</v>
      </c>
      <c r="P90" s="20">
        <v>0</v>
      </c>
      <c r="Q90" s="20">
        <v>0</v>
      </c>
      <c r="R90" s="20"/>
      <c r="S90" s="20">
        <v>77625.750694703253</v>
      </c>
      <c r="T90" s="20">
        <v>60676.224767295193</v>
      </c>
      <c r="U90" s="20">
        <v>49716.317374927377</v>
      </c>
      <c r="V90" s="20">
        <v>55445.635344405069</v>
      </c>
      <c r="W90" s="20">
        <v>110891.27068881014</v>
      </c>
      <c r="X90" s="20">
        <v>110891.27068881014</v>
      </c>
      <c r="Y90" s="20">
        <v>110891.27068881014</v>
      </c>
      <c r="Z90" s="20">
        <v>0</v>
      </c>
      <c r="AA90" s="20"/>
      <c r="AB90" s="20">
        <v>221782.54137762028</v>
      </c>
      <c r="AC90" s="20">
        <v>66822.315389129435</v>
      </c>
      <c r="AD90" s="20">
        <v>0</v>
      </c>
      <c r="AE90" s="20">
        <v>0</v>
      </c>
      <c r="AF90" s="20">
        <v>221782.54137762028</v>
      </c>
      <c r="AG90" s="20">
        <v>66822.315389129435</v>
      </c>
      <c r="AH90" s="20">
        <v>221782.54137762028</v>
      </c>
      <c r="AI90" s="20">
        <v>66822.315389129435</v>
      </c>
      <c r="AJ90" s="20">
        <v>221782.54137762028</v>
      </c>
      <c r="AK90" s="20">
        <v>221782.54137762028</v>
      </c>
      <c r="AL90" s="20">
        <v>221782.54137762028</v>
      </c>
      <c r="AM90" s="20">
        <v>221782.54137762028</v>
      </c>
      <c r="AN90" s="20">
        <v>221782.54137762028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/>
      <c r="AX90" s="20">
        <v>0</v>
      </c>
      <c r="AY90" s="20">
        <v>110891.27068881014</v>
      </c>
      <c r="AZ90" s="20">
        <v>110891.27068881014</v>
      </c>
      <c r="BA90" s="20">
        <v>665347.6241328608</v>
      </c>
      <c r="BB90" s="20">
        <v>133644.63077825887</v>
      </c>
      <c r="BC90" s="20">
        <v>0</v>
      </c>
      <c r="BD90" s="20">
        <v>0</v>
      </c>
      <c r="BE90" s="20">
        <v>10081.024608073649</v>
      </c>
      <c r="BF90" s="20">
        <v>0</v>
      </c>
      <c r="BG90" s="20">
        <v>0</v>
      </c>
      <c r="BH90" s="21">
        <f>21480-7160</f>
        <v>14320</v>
      </c>
      <c r="BI90" s="21">
        <f>21480-7160</f>
        <v>14320</v>
      </c>
      <c r="BJ90" s="20"/>
      <c r="BK90" s="20">
        <v>0</v>
      </c>
      <c r="BL90" s="20"/>
      <c r="BM90" s="20">
        <v>25060</v>
      </c>
      <c r="BN90" s="20">
        <v>112936.33</v>
      </c>
      <c r="BO90" s="20">
        <v>1868.41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  <c r="CE90" s="20">
        <v>0</v>
      </c>
      <c r="CF90" s="20">
        <v>0</v>
      </c>
      <c r="CG90" s="20">
        <v>0</v>
      </c>
      <c r="CH90" s="20">
        <v>0</v>
      </c>
      <c r="CI90" s="20">
        <v>0</v>
      </c>
      <c r="CJ90" s="20">
        <v>0</v>
      </c>
      <c r="CK90" s="20">
        <v>0</v>
      </c>
      <c r="CL90" s="20"/>
      <c r="CM90" s="20">
        <v>0</v>
      </c>
      <c r="CN90" s="20">
        <v>0</v>
      </c>
      <c r="CO90" s="20">
        <v>111843.51999999999</v>
      </c>
      <c r="CP90" s="20">
        <v>0</v>
      </c>
      <c r="CQ90" s="20">
        <v>0</v>
      </c>
      <c r="CR90" s="20">
        <v>0</v>
      </c>
      <c r="CS90" s="20">
        <v>9040</v>
      </c>
      <c r="CT90" s="20">
        <v>116280</v>
      </c>
      <c r="CU90" s="20">
        <v>15989.627906976744</v>
      </c>
      <c r="CV90" s="20">
        <v>0</v>
      </c>
      <c r="CW90" s="20"/>
      <c r="CX90" s="20">
        <v>0</v>
      </c>
      <c r="CY90" s="20">
        <v>0</v>
      </c>
      <c r="CZ90" s="20">
        <v>0</v>
      </c>
      <c r="DA90" s="20">
        <v>0</v>
      </c>
      <c r="DB90" s="20">
        <v>27600</v>
      </c>
      <c r="DC90" s="20">
        <v>66083.451191520595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/>
      <c r="DJ90" s="20">
        <v>22425.000968575478</v>
      </c>
      <c r="DK90" s="22">
        <v>0</v>
      </c>
      <c r="DL90" s="20">
        <v>0</v>
      </c>
      <c r="DM90" s="20">
        <v>0</v>
      </c>
      <c r="DN90" s="20">
        <v>4526048.5258758059</v>
      </c>
      <c r="DO90" s="20">
        <f t="shared" si="32"/>
        <v>2879081.151173491</v>
      </c>
      <c r="DP90" s="21">
        <v>522591</v>
      </c>
      <c r="DQ90" s="20">
        <f t="shared" si="33"/>
        <v>28640</v>
      </c>
      <c r="DR90" s="20">
        <f t="shared" si="34"/>
        <v>147745.00096857548</v>
      </c>
      <c r="DS90" s="20">
        <f t="shared" si="44"/>
        <v>346205.99903142452</v>
      </c>
      <c r="DT90" s="23">
        <f t="shared" si="45"/>
        <v>0.66247983419428291</v>
      </c>
      <c r="DU90" s="20">
        <f t="shared" si="35"/>
        <v>2720893.4449789925</v>
      </c>
      <c r="DV90" s="20">
        <f t="shared" si="36"/>
        <v>1020774.79628874</v>
      </c>
      <c r="DW90" s="20">
        <f t="shared" si="37"/>
        <v>10081.024608073649</v>
      </c>
      <c r="DX90" s="20">
        <f t="shared" si="38"/>
        <v>139864.74000000002</v>
      </c>
      <c r="DY90" s="20">
        <f t="shared" si="39"/>
        <v>0</v>
      </c>
      <c r="DZ90" s="20">
        <f t="shared" si="40"/>
        <v>0</v>
      </c>
      <c r="EA90" s="20">
        <f t="shared" si="41"/>
        <v>0</v>
      </c>
      <c r="EB90" s="20">
        <f t="shared" si="42"/>
        <v>111843.51999999999</v>
      </c>
      <c r="EC90" s="20">
        <f t="shared" si="46"/>
        <v>346205.99903142452</v>
      </c>
      <c r="ED90" s="20">
        <f t="shared" si="47"/>
        <v>28640</v>
      </c>
      <c r="EE90" s="20">
        <f t="shared" si="47"/>
        <v>147745.00096857548</v>
      </c>
      <c r="EF90" s="20">
        <f t="shared" si="48"/>
        <v>522591</v>
      </c>
      <c r="EG90" s="23">
        <f t="shared" si="49"/>
        <v>0.66247983419428291</v>
      </c>
      <c r="EH90" s="20">
        <f t="shared" si="50"/>
        <v>4526048.5258758068</v>
      </c>
    </row>
    <row r="91" spans="1:138" x14ac:dyDescent="0.25">
      <c r="A91" s="18">
        <v>409</v>
      </c>
      <c r="B91" t="s">
        <v>232</v>
      </c>
      <c r="C91" t="s">
        <v>150</v>
      </c>
      <c r="D91">
        <v>2</v>
      </c>
      <c r="E91">
        <v>587</v>
      </c>
      <c r="F91" s="19">
        <f t="shared" si="43"/>
        <v>0.22827938671209541</v>
      </c>
      <c r="G91">
        <v>134</v>
      </c>
      <c r="H91" s="20">
        <v>95525.37552094186</v>
      </c>
      <c r="I91" s="20">
        <v>110891.27068881014</v>
      </c>
      <c r="J91" s="20">
        <v>412869.82288496837</v>
      </c>
      <c r="K91" s="20">
        <v>110891.27068881014</v>
      </c>
      <c r="L91" s="20">
        <v>0</v>
      </c>
      <c r="M91" s="20">
        <v>89505.059196611037</v>
      </c>
      <c r="N91" s="20">
        <v>59866.796146808359</v>
      </c>
      <c r="O91" s="20">
        <v>67246.79081744951</v>
      </c>
      <c r="P91" s="20">
        <v>0</v>
      </c>
      <c r="Q91" s="20">
        <v>0</v>
      </c>
      <c r="R91" s="20"/>
      <c r="S91" s="20">
        <v>77625.750694703253</v>
      </c>
      <c r="T91" s="20">
        <v>60676.224767295193</v>
      </c>
      <c r="U91" s="20">
        <v>149148.95212478214</v>
      </c>
      <c r="V91" s="20">
        <v>110891.27068881014</v>
      </c>
      <c r="W91" s="20">
        <v>110891.27068881014</v>
      </c>
      <c r="X91" s="20">
        <v>110891.27068881014</v>
      </c>
      <c r="Y91" s="20">
        <v>110891.27068881014</v>
      </c>
      <c r="Z91" s="20">
        <v>0</v>
      </c>
      <c r="AA91" s="20"/>
      <c r="AB91" s="20">
        <v>221782.54137762028</v>
      </c>
      <c r="AC91" s="20">
        <v>66822.315389129435</v>
      </c>
      <c r="AD91" s="20">
        <v>110891.27068881014</v>
      </c>
      <c r="AE91" s="20">
        <v>33411.157694564718</v>
      </c>
      <c r="AF91" s="20">
        <v>221782.54137762028</v>
      </c>
      <c r="AG91" s="20">
        <v>66822.315389129435</v>
      </c>
      <c r="AH91" s="20">
        <v>221782.54137762028</v>
      </c>
      <c r="AI91" s="20">
        <v>66822.315389129435</v>
      </c>
      <c r="AJ91" s="20">
        <v>221782.54137762028</v>
      </c>
      <c r="AK91" s="20">
        <v>221782.54137762028</v>
      </c>
      <c r="AL91" s="20">
        <v>221782.54137762028</v>
      </c>
      <c r="AM91" s="20">
        <v>221782.54137762028</v>
      </c>
      <c r="AN91" s="20">
        <v>221782.54137762028</v>
      </c>
      <c r="AO91" s="20">
        <v>510099.84516852658</v>
      </c>
      <c r="AP91" s="20">
        <v>476832.46396188356</v>
      </c>
      <c r="AQ91" s="20">
        <v>365941.19327307341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/>
      <c r="AX91" s="20">
        <v>0</v>
      </c>
      <c r="AY91" s="20">
        <v>55445.635344405069</v>
      </c>
      <c r="AZ91" s="20">
        <v>221782.54137762028</v>
      </c>
      <c r="BA91" s="20">
        <v>1108912.7068881013</v>
      </c>
      <c r="BB91" s="20">
        <v>167055.78847282359</v>
      </c>
      <c r="BC91" s="20">
        <v>0</v>
      </c>
      <c r="BD91" s="20">
        <v>114084.97559574516</v>
      </c>
      <c r="BE91" s="20">
        <v>554456.35344405065</v>
      </c>
      <c r="BF91" s="20">
        <v>0</v>
      </c>
      <c r="BG91" s="20">
        <v>110891.27068881014</v>
      </c>
      <c r="BH91" s="20">
        <v>0</v>
      </c>
      <c r="BI91" s="20">
        <v>0</v>
      </c>
      <c r="BJ91" s="20">
        <v>0</v>
      </c>
      <c r="BK91" s="20">
        <v>0</v>
      </c>
      <c r="BL91" s="20"/>
      <c r="BM91" s="20">
        <v>0</v>
      </c>
      <c r="BN91" s="20">
        <v>0</v>
      </c>
      <c r="BO91" s="20">
        <v>0</v>
      </c>
      <c r="BP91" s="20">
        <v>13500</v>
      </c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  <c r="CD91" s="20">
        <v>0</v>
      </c>
      <c r="CE91" s="20">
        <v>0</v>
      </c>
      <c r="CF91" s="20">
        <v>0</v>
      </c>
      <c r="CG91" s="20">
        <v>0</v>
      </c>
      <c r="CH91" s="20">
        <v>0</v>
      </c>
      <c r="CI91" s="20">
        <v>0</v>
      </c>
      <c r="CJ91" s="20">
        <v>0</v>
      </c>
      <c r="CK91" s="20">
        <v>221782.54137762028</v>
      </c>
      <c r="CL91" s="20"/>
      <c r="CM91" s="20">
        <v>23000</v>
      </c>
      <c r="CN91" s="20">
        <v>5000</v>
      </c>
      <c r="CO91" s="20">
        <v>111843.51999999999</v>
      </c>
      <c r="CP91" s="20">
        <v>100000</v>
      </c>
      <c r="CQ91" s="20">
        <v>0</v>
      </c>
      <c r="CR91" s="20">
        <v>0</v>
      </c>
      <c r="CS91" s="20">
        <v>0</v>
      </c>
      <c r="CT91" s="20">
        <v>0</v>
      </c>
      <c r="CU91" s="20">
        <v>37422.206432748542</v>
      </c>
      <c r="CV91" s="20">
        <v>0</v>
      </c>
      <c r="CW91" s="20"/>
      <c r="CX91" s="20">
        <v>0</v>
      </c>
      <c r="CY91" s="20">
        <v>0</v>
      </c>
      <c r="CZ91" s="20">
        <v>0</v>
      </c>
      <c r="DA91" s="20">
        <v>0</v>
      </c>
      <c r="DB91" s="20">
        <v>58700</v>
      </c>
      <c r="DC91" s="20">
        <v>125646.45142095798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/>
      <c r="DJ91" s="20">
        <v>24750.000545009971</v>
      </c>
      <c r="DK91" s="22">
        <v>0</v>
      </c>
      <c r="DL91" s="20">
        <v>0</v>
      </c>
      <c r="DM91" s="20">
        <v>0</v>
      </c>
      <c r="DN91" s="20">
        <v>8203989.5958495233</v>
      </c>
      <c r="DO91" s="20">
        <f t="shared" si="32"/>
        <v>5433815.8759061759</v>
      </c>
      <c r="DP91" s="21">
        <v>309855</v>
      </c>
      <c r="DQ91" s="20">
        <f t="shared" si="33"/>
        <v>0</v>
      </c>
      <c r="DR91" s="20">
        <f t="shared" si="34"/>
        <v>24750.000545009971</v>
      </c>
      <c r="DS91" s="20">
        <f t="shared" si="44"/>
        <v>285104.99945499003</v>
      </c>
      <c r="DT91" s="23">
        <f t="shared" si="45"/>
        <v>0.92012392717558222</v>
      </c>
      <c r="DU91" s="20">
        <f t="shared" si="35"/>
        <v>5436161.8040379658</v>
      </c>
      <c r="DV91" s="20">
        <f t="shared" si="36"/>
        <v>1667281.6476786954</v>
      </c>
      <c r="DW91" s="20">
        <f t="shared" si="37"/>
        <v>665347.6241328608</v>
      </c>
      <c r="DX91" s="20">
        <f t="shared" si="38"/>
        <v>13500</v>
      </c>
      <c r="DY91" s="20">
        <f t="shared" si="39"/>
        <v>0</v>
      </c>
      <c r="DZ91" s="20">
        <f t="shared" si="40"/>
        <v>0</v>
      </c>
      <c r="EA91" s="20">
        <f t="shared" si="41"/>
        <v>0</v>
      </c>
      <c r="EB91" s="20">
        <f t="shared" si="42"/>
        <v>111843.51999999999</v>
      </c>
      <c r="EC91" s="20">
        <f t="shared" si="46"/>
        <v>285104.99945499003</v>
      </c>
      <c r="ED91" s="20">
        <f t="shared" si="47"/>
        <v>0</v>
      </c>
      <c r="EE91" s="20">
        <f t="shared" si="47"/>
        <v>24750.000545009971</v>
      </c>
      <c r="EF91" s="20">
        <f t="shared" si="48"/>
        <v>309855</v>
      </c>
      <c r="EG91" s="23">
        <f t="shared" si="49"/>
        <v>0.92012392717558222</v>
      </c>
      <c r="EH91" s="20">
        <f t="shared" si="50"/>
        <v>8203989.5958495215</v>
      </c>
    </row>
    <row r="92" spans="1:138" x14ac:dyDescent="0.25">
      <c r="A92" s="18">
        <v>466</v>
      </c>
      <c r="B92" t="s">
        <v>233</v>
      </c>
      <c r="C92" t="s">
        <v>138</v>
      </c>
      <c r="D92">
        <v>2</v>
      </c>
      <c r="E92">
        <v>600</v>
      </c>
      <c r="F92" s="19">
        <f t="shared" si="43"/>
        <v>0.17833333333333334</v>
      </c>
      <c r="G92">
        <v>107</v>
      </c>
      <c r="H92" s="20">
        <v>95525.37552094186</v>
      </c>
      <c r="I92" s="20">
        <v>110891.27068881014</v>
      </c>
      <c r="J92" s="20">
        <v>305829.4984333099</v>
      </c>
      <c r="K92" s="20">
        <v>0</v>
      </c>
      <c r="L92" s="20">
        <v>311897.15218886972</v>
      </c>
      <c r="M92" s="20">
        <v>89505.059196611037</v>
      </c>
      <c r="N92" s="20">
        <v>59866.796146808359</v>
      </c>
      <c r="O92" s="20">
        <v>67246.79081744951</v>
      </c>
      <c r="P92" s="20">
        <v>49534.351124581444</v>
      </c>
      <c r="Q92" s="20">
        <v>69924.031375330247</v>
      </c>
      <c r="R92" s="20"/>
      <c r="S92" s="20">
        <v>77625.750694703253</v>
      </c>
      <c r="T92" s="20">
        <v>60676.224767295193</v>
      </c>
      <c r="U92" s="20">
        <v>149148.95212478214</v>
      </c>
      <c r="V92" s="20">
        <v>110891.27068881014</v>
      </c>
      <c r="W92" s="20">
        <v>0</v>
      </c>
      <c r="X92" s="20">
        <v>0</v>
      </c>
      <c r="Y92" s="20">
        <v>0</v>
      </c>
      <c r="Z92" s="20">
        <v>0</v>
      </c>
      <c r="AA92" s="20"/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720793.25947726588</v>
      </c>
      <c r="AS92" s="20">
        <v>665347.6241328608</v>
      </c>
      <c r="AT92" s="20">
        <v>698615.00533950387</v>
      </c>
      <c r="AU92" s="20">
        <v>698615.00533950387</v>
      </c>
      <c r="AV92" s="20">
        <v>0</v>
      </c>
      <c r="AW92" s="20"/>
      <c r="AX92" s="20">
        <v>0</v>
      </c>
      <c r="AY92" s="20">
        <v>55445.635344405069</v>
      </c>
      <c r="AZ92" s="20">
        <v>221782.54137762028</v>
      </c>
      <c r="BA92" s="20">
        <v>221782.54137762028</v>
      </c>
      <c r="BB92" s="20">
        <v>66822.315389129435</v>
      </c>
      <c r="BC92" s="20">
        <v>0</v>
      </c>
      <c r="BD92" s="20">
        <v>114084.97559574516</v>
      </c>
      <c r="BE92" s="20">
        <v>10081.024608073649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/>
      <c r="BM92" s="20">
        <v>0</v>
      </c>
      <c r="BN92" s="20">
        <v>0</v>
      </c>
      <c r="BO92" s="20">
        <v>0</v>
      </c>
      <c r="BP92" s="20">
        <v>14775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/>
      <c r="CM92" s="20">
        <v>0</v>
      </c>
      <c r="CN92" s="20">
        <v>0</v>
      </c>
      <c r="CO92" s="20">
        <v>244045.91999999998</v>
      </c>
      <c r="CP92" s="20">
        <v>0</v>
      </c>
      <c r="CQ92" s="20">
        <v>114084.97559574516</v>
      </c>
      <c r="CR92" s="20">
        <v>0</v>
      </c>
      <c r="CS92" s="20">
        <v>0</v>
      </c>
      <c r="CT92" s="20">
        <v>0</v>
      </c>
      <c r="CU92" s="20">
        <v>75769.076923076922</v>
      </c>
      <c r="CV92" s="20">
        <v>0</v>
      </c>
      <c r="CW92" s="20"/>
      <c r="CX92" s="20">
        <v>0</v>
      </c>
      <c r="CY92" s="20">
        <v>0</v>
      </c>
      <c r="CZ92" s="20">
        <v>0</v>
      </c>
      <c r="DA92" s="20">
        <v>0</v>
      </c>
      <c r="DB92" s="20">
        <v>60000</v>
      </c>
      <c r="DC92" s="20">
        <v>82850.880580266996</v>
      </c>
      <c r="DD92" s="20">
        <v>111880.69515088014</v>
      </c>
      <c r="DE92" s="20">
        <v>519436</v>
      </c>
      <c r="DF92" s="20">
        <v>0</v>
      </c>
      <c r="DG92" s="20">
        <v>0</v>
      </c>
      <c r="DH92" s="20">
        <v>0</v>
      </c>
      <c r="DI92" s="20"/>
      <c r="DJ92" s="20">
        <v>699.99999445863068</v>
      </c>
      <c r="DK92" s="22">
        <v>0</v>
      </c>
      <c r="DL92" s="20">
        <v>29121.210243749432</v>
      </c>
      <c r="DM92" s="20">
        <v>125000</v>
      </c>
      <c r="DN92" s="20">
        <v>6409596.2102382099</v>
      </c>
      <c r="DO92" s="20">
        <f t="shared" si="32"/>
        <v>4387187.4235697454</v>
      </c>
      <c r="DP92" s="21">
        <v>247421</v>
      </c>
      <c r="DQ92" s="20">
        <f t="shared" si="33"/>
        <v>0</v>
      </c>
      <c r="DR92" s="20">
        <f t="shared" si="34"/>
        <v>699.99999445863068</v>
      </c>
      <c r="DS92" s="20">
        <f t="shared" si="44"/>
        <v>246721.00000554137</v>
      </c>
      <c r="DT92" s="23">
        <f t="shared" si="45"/>
        <v>0.99717081414084241</v>
      </c>
      <c r="DU92" s="20">
        <f t="shared" si="35"/>
        <v>4552917.3511509858</v>
      </c>
      <c r="DV92" s="20">
        <f t="shared" si="36"/>
        <v>679918.00908452016</v>
      </c>
      <c r="DW92" s="20">
        <f t="shared" si="37"/>
        <v>10081.024608073649</v>
      </c>
      <c r="DX92" s="20">
        <f t="shared" si="38"/>
        <v>14775</v>
      </c>
      <c r="DY92" s="20">
        <f t="shared" si="39"/>
        <v>519436</v>
      </c>
      <c r="DZ92" s="20">
        <f t="shared" si="40"/>
        <v>111880.69515088014</v>
      </c>
      <c r="EA92" s="20">
        <f t="shared" si="41"/>
        <v>29121.210243749432</v>
      </c>
      <c r="EB92" s="20">
        <f t="shared" si="42"/>
        <v>244045.91999999998</v>
      </c>
      <c r="EC92" s="20">
        <f t="shared" si="46"/>
        <v>246721.00000554137</v>
      </c>
      <c r="ED92" s="20">
        <f t="shared" si="47"/>
        <v>0</v>
      </c>
      <c r="EE92" s="20">
        <f t="shared" si="47"/>
        <v>699.99999445863068</v>
      </c>
      <c r="EF92" s="20">
        <f t="shared" si="48"/>
        <v>247421</v>
      </c>
      <c r="EG92" s="23">
        <f t="shared" si="49"/>
        <v>0.99717081414084241</v>
      </c>
      <c r="EH92" s="20">
        <f t="shared" si="50"/>
        <v>6409596.210238209</v>
      </c>
    </row>
    <row r="93" spans="1:138" x14ac:dyDescent="0.25">
      <c r="A93" s="18">
        <v>175</v>
      </c>
      <c r="B93" t="s">
        <v>234</v>
      </c>
      <c r="C93" t="s">
        <v>135</v>
      </c>
      <c r="D93">
        <v>6</v>
      </c>
      <c r="E93">
        <v>311</v>
      </c>
      <c r="F93" s="19">
        <f t="shared" si="43"/>
        <v>5.1446945337620578E-2</v>
      </c>
      <c r="G93">
        <v>16</v>
      </c>
      <c r="H93" s="20">
        <v>191050.75104188372</v>
      </c>
      <c r="I93" s="20">
        <v>110891.27068881014</v>
      </c>
      <c r="J93" s="20">
        <v>122331.79937332397</v>
      </c>
      <c r="K93" s="20">
        <v>0</v>
      </c>
      <c r="L93" s="20">
        <v>0</v>
      </c>
      <c r="M93" s="20">
        <v>89505.059196611037</v>
      </c>
      <c r="N93" s="20">
        <v>59866.796146808359</v>
      </c>
      <c r="O93" s="20">
        <v>0</v>
      </c>
      <c r="P93" s="20">
        <v>0</v>
      </c>
      <c r="Q93" s="20">
        <v>0</v>
      </c>
      <c r="R93" s="20"/>
      <c r="S93" s="20">
        <v>77625.750694703253</v>
      </c>
      <c r="T93" s="20">
        <v>60676.224767295193</v>
      </c>
      <c r="U93" s="20">
        <v>99432.634749854755</v>
      </c>
      <c r="V93" s="20">
        <v>110891.27068881014</v>
      </c>
      <c r="W93" s="20">
        <v>110891.27068881014</v>
      </c>
      <c r="X93" s="20">
        <v>110891.27068881014</v>
      </c>
      <c r="Y93" s="20">
        <v>110891.27068881014</v>
      </c>
      <c r="Z93" s="20">
        <v>0</v>
      </c>
      <c r="AA93" s="20"/>
      <c r="AB93" s="20">
        <v>221782.54137762028</v>
      </c>
      <c r="AC93" s="20">
        <v>66822.315389129435</v>
      </c>
      <c r="AD93" s="20">
        <v>0</v>
      </c>
      <c r="AE93" s="20">
        <v>0</v>
      </c>
      <c r="AF93" s="20">
        <v>221782.54137762028</v>
      </c>
      <c r="AG93" s="20">
        <v>66822.315389129435</v>
      </c>
      <c r="AH93" s="20">
        <v>332673.8120664304</v>
      </c>
      <c r="AI93" s="20">
        <v>100233.47308369415</v>
      </c>
      <c r="AJ93" s="20">
        <v>221782.54137762028</v>
      </c>
      <c r="AK93" s="20">
        <v>221782.54137762028</v>
      </c>
      <c r="AL93" s="20">
        <v>221782.54137762028</v>
      </c>
      <c r="AM93" s="20">
        <v>221782.54137762028</v>
      </c>
      <c r="AN93" s="20">
        <v>110891.27068881014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/>
      <c r="AX93" s="20">
        <v>0</v>
      </c>
      <c r="AY93" s="20">
        <v>110891.27068881014</v>
      </c>
      <c r="AZ93" s="20">
        <v>166336.9060332152</v>
      </c>
      <c r="BA93" s="20">
        <v>998021.43619929126</v>
      </c>
      <c r="BB93" s="20">
        <v>334111.57694564719</v>
      </c>
      <c r="BC93" s="20">
        <v>0</v>
      </c>
      <c r="BD93" s="20">
        <v>0</v>
      </c>
      <c r="BE93" s="20">
        <v>40324.098432294595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/>
      <c r="BM93" s="20">
        <v>0</v>
      </c>
      <c r="BN93" s="20">
        <v>0</v>
      </c>
      <c r="BO93" s="20">
        <v>0</v>
      </c>
      <c r="BP93" s="20">
        <v>7925</v>
      </c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0</v>
      </c>
      <c r="CD93" s="20">
        <v>0</v>
      </c>
      <c r="CE93" s="20">
        <v>0</v>
      </c>
      <c r="CF93" s="20">
        <v>0</v>
      </c>
      <c r="CG93" s="20">
        <v>0</v>
      </c>
      <c r="CH93" s="20">
        <v>0</v>
      </c>
      <c r="CI93" s="20">
        <v>0</v>
      </c>
      <c r="CJ93" s="20">
        <v>0</v>
      </c>
      <c r="CK93" s="20">
        <v>0</v>
      </c>
      <c r="CL93" s="20"/>
      <c r="CM93" s="20">
        <v>0</v>
      </c>
      <c r="CN93" s="20">
        <v>0</v>
      </c>
      <c r="CO93" s="20">
        <v>111843.51999999999</v>
      </c>
      <c r="CP93" s="20">
        <v>0</v>
      </c>
      <c r="CQ93" s="20">
        <v>0</v>
      </c>
      <c r="CR93" s="20">
        <v>0</v>
      </c>
      <c r="CS93" s="20">
        <v>0</v>
      </c>
      <c r="CT93" s="20">
        <v>0</v>
      </c>
      <c r="CU93" s="20">
        <v>17435.833333333332</v>
      </c>
      <c r="CV93" s="20">
        <v>0</v>
      </c>
      <c r="CW93" s="20"/>
      <c r="CX93" s="20">
        <v>0</v>
      </c>
      <c r="CY93" s="20">
        <v>0</v>
      </c>
      <c r="CZ93" s="20">
        <v>0</v>
      </c>
      <c r="DA93" s="20">
        <v>0</v>
      </c>
      <c r="DB93" s="20">
        <v>31100</v>
      </c>
      <c r="DC93" s="20">
        <v>79095.582390806943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/>
      <c r="DJ93" s="20">
        <v>1749.9999722931534</v>
      </c>
      <c r="DK93" s="22">
        <v>0</v>
      </c>
      <c r="DL93" s="20">
        <v>0</v>
      </c>
      <c r="DM93" s="20">
        <v>0</v>
      </c>
      <c r="DN93" s="20">
        <v>5161919.0282931384</v>
      </c>
      <c r="DO93" s="20">
        <f t="shared" si="32"/>
        <v>3152980.6098097335</v>
      </c>
      <c r="DP93" s="21">
        <v>36998</v>
      </c>
      <c r="DQ93" s="20">
        <f t="shared" si="33"/>
        <v>0</v>
      </c>
      <c r="DR93" s="20">
        <f t="shared" si="34"/>
        <v>1749.9999722931534</v>
      </c>
      <c r="DS93" s="20">
        <f t="shared" si="44"/>
        <v>35248.000027706847</v>
      </c>
      <c r="DT93" s="23">
        <f t="shared" si="45"/>
        <v>0.95270014670270953</v>
      </c>
      <c r="DU93" s="20">
        <f t="shared" si="35"/>
        <v>3355467.2199938796</v>
      </c>
      <c r="DV93" s="20">
        <f t="shared" si="36"/>
        <v>1609361.1898669638</v>
      </c>
      <c r="DW93" s="20">
        <f t="shared" si="37"/>
        <v>40324.098432294595</v>
      </c>
      <c r="DX93" s="20">
        <f t="shared" si="38"/>
        <v>7925</v>
      </c>
      <c r="DY93" s="20">
        <f t="shared" si="39"/>
        <v>0</v>
      </c>
      <c r="DZ93" s="20">
        <f t="shared" si="40"/>
        <v>0</v>
      </c>
      <c r="EA93" s="20">
        <f t="shared" si="41"/>
        <v>0</v>
      </c>
      <c r="EB93" s="20">
        <f t="shared" si="42"/>
        <v>111843.51999999999</v>
      </c>
      <c r="EC93" s="20">
        <f t="shared" si="46"/>
        <v>35248.000027706847</v>
      </c>
      <c r="ED93" s="20">
        <f t="shared" si="47"/>
        <v>0</v>
      </c>
      <c r="EE93" s="20">
        <f t="shared" si="47"/>
        <v>1749.9999722931534</v>
      </c>
      <c r="EF93" s="20">
        <f t="shared" si="48"/>
        <v>36998</v>
      </c>
      <c r="EG93" s="23">
        <f t="shared" si="49"/>
        <v>0.95270014670270953</v>
      </c>
      <c r="EH93" s="20">
        <f t="shared" si="50"/>
        <v>5161919.0282931384</v>
      </c>
    </row>
    <row r="94" spans="1:138" x14ac:dyDescent="0.25">
      <c r="A94" s="18">
        <v>309</v>
      </c>
      <c r="B94" t="s">
        <v>235</v>
      </c>
      <c r="C94" t="s">
        <v>135</v>
      </c>
      <c r="D94">
        <v>6</v>
      </c>
      <c r="E94">
        <v>400</v>
      </c>
      <c r="F94" s="19">
        <f t="shared" si="43"/>
        <v>0.47</v>
      </c>
      <c r="G94">
        <v>188</v>
      </c>
      <c r="H94" s="20">
        <v>191050.75104188372</v>
      </c>
      <c r="I94" s="20">
        <v>110891.27068881014</v>
      </c>
      <c r="J94" s="20">
        <v>152914.74921665495</v>
      </c>
      <c r="K94" s="20">
        <v>0</v>
      </c>
      <c r="L94" s="20">
        <v>0</v>
      </c>
      <c r="M94" s="20">
        <v>89505.059196611037</v>
      </c>
      <c r="N94" s="20">
        <v>59866.796146808359</v>
      </c>
      <c r="O94" s="20">
        <v>44831.193878299673</v>
      </c>
      <c r="P94" s="20">
        <v>0</v>
      </c>
      <c r="Q94" s="20">
        <v>0</v>
      </c>
      <c r="R94" s="20"/>
      <c r="S94" s="20">
        <v>77625.750694703253</v>
      </c>
      <c r="T94" s="20">
        <v>60676.224767295193</v>
      </c>
      <c r="U94" s="20">
        <v>99432.634749854755</v>
      </c>
      <c r="V94" s="20">
        <v>110891.27068881014</v>
      </c>
      <c r="W94" s="20">
        <v>110891.27068881014</v>
      </c>
      <c r="X94" s="20">
        <v>110891.27068881014</v>
      </c>
      <c r="Y94" s="20">
        <v>110891.27068881014</v>
      </c>
      <c r="Z94" s="20">
        <f>277228.176722025-AA94</f>
        <v>166336.90603321482</v>
      </c>
      <c r="AA94" s="20">
        <v>110891.27068881014</v>
      </c>
      <c r="AB94" s="20">
        <v>332673.8120664304</v>
      </c>
      <c r="AC94" s="20">
        <v>100233.47308369415</v>
      </c>
      <c r="AD94" s="20">
        <v>0</v>
      </c>
      <c r="AE94" s="20">
        <v>0</v>
      </c>
      <c r="AF94" s="20">
        <v>332673.8120664304</v>
      </c>
      <c r="AG94" s="20">
        <v>100233.47308369415</v>
      </c>
      <c r="AH94" s="20">
        <v>332673.8120664304</v>
      </c>
      <c r="AI94" s="20">
        <v>100233.47308369415</v>
      </c>
      <c r="AJ94" s="20">
        <v>221782.54137762028</v>
      </c>
      <c r="AK94" s="20">
        <v>332673.8120664304</v>
      </c>
      <c r="AL94" s="20">
        <v>332673.8120664304</v>
      </c>
      <c r="AM94" s="20">
        <v>221782.54137762028</v>
      </c>
      <c r="AN94" s="20">
        <v>221782.54137762028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/>
      <c r="AX94" s="20">
        <v>0</v>
      </c>
      <c r="AY94" s="20">
        <v>110891.27068881014</v>
      </c>
      <c r="AZ94" s="20">
        <v>110891.27068881014</v>
      </c>
      <c r="BA94" s="20">
        <v>776238.89482167095</v>
      </c>
      <c r="BB94" s="20">
        <v>267289.26155651774</v>
      </c>
      <c r="BC94" s="20">
        <v>0</v>
      </c>
      <c r="BD94" s="20">
        <v>114084.97559574516</v>
      </c>
      <c r="BE94" s="20">
        <v>776238.89482167095</v>
      </c>
      <c r="BF94" s="20">
        <v>0</v>
      </c>
      <c r="BG94" s="20">
        <v>110891.27068881014</v>
      </c>
      <c r="BH94" s="21">
        <f>42960-14320</f>
        <v>28640</v>
      </c>
      <c r="BI94" s="21">
        <f>42960-14320</f>
        <v>28640</v>
      </c>
      <c r="BJ94" s="20">
        <v>0</v>
      </c>
      <c r="BK94" s="20">
        <v>0</v>
      </c>
      <c r="BL94" s="20"/>
      <c r="BM94" s="20">
        <v>28640</v>
      </c>
      <c r="BN94" s="20">
        <v>167912.89</v>
      </c>
      <c r="BO94" s="20">
        <v>2777.93</v>
      </c>
      <c r="BP94" s="20">
        <v>0</v>
      </c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  <c r="BZ94" s="20">
        <v>0</v>
      </c>
      <c r="CA94" s="20">
        <v>0</v>
      </c>
      <c r="CB94" s="20">
        <v>0</v>
      </c>
      <c r="CC94" s="20">
        <v>0</v>
      </c>
      <c r="CD94" s="20">
        <v>0</v>
      </c>
      <c r="CE94" s="20">
        <v>0</v>
      </c>
      <c r="CF94" s="20">
        <v>0</v>
      </c>
      <c r="CG94" s="20">
        <v>0</v>
      </c>
      <c r="CH94" s="20">
        <v>0</v>
      </c>
      <c r="CI94" s="20">
        <v>0</v>
      </c>
      <c r="CJ94" s="20">
        <v>0</v>
      </c>
      <c r="CK94" s="20">
        <v>0</v>
      </c>
      <c r="CL94" s="20"/>
      <c r="CM94" s="20">
        <v>0</v>
      </c>
      <c r="CN94" s="20">
        <v>0</v>
      </c>
      <c r="CO94" s="20">
        <v>55921.759999999995</v>
      </c>
      <c r="CP94" s="20">
        <v>0</v>
      </c>
      <c r="CQ94" s="20">
        <v>0</v>
      </c>
      <c r="CR94" s="20">
        <v>0</v>
      </c>
      <c r="CS94" s="20">
        <v>3760</v>
      </c>
      <c r="CT94" s="20">
        <v>0</v>
      </c>
      <c r="CU94" s="20">
        <v>21970.798206278028</v>
      </c>
      <c r="CV94" s="20">
        <v>0</v>
      </c>
      <c r="CW94" s="20"/>
      <c r="CX94" s="20">
        <v>0</v>
      </c>
      <c r="CY94" s="20">
        <v>0</v>
      </c>
      <c r="CZ94" s="20">
        <v>0</v>
      </c>
      <c r="DA94" s="20">
        <v>0</v>
      </c>
      <c r="DB94" s="20">
        <v>40000</v>
      </c>
      <c r="DC94" s="20">
        <v>104706.84318222472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/>
      <c r="DJ94" s="20">
        <v>10350.000167638063</v>
      </c>
      <c r="DK94" s="22">
        <v>0</v>
      </c>
      <c r="DL94" s="20">
        <v>0</v>
      </c>
      <c r="DM94" s="20">
        <v>0</v>
      </c>
      <c r="DN94" s="20">
        <v>6996850.8539924594</v>
      </c>
      <c r="DO94" s="20">
        <f>SUM(H94:Q94,V94:Z94,AB94:AW94,CE94:CF94,CK94,CM94:CN94,CP94:CQ94,CU94,DB94:DC94)</f>
        <v>4055056.5540621211</v>
      </c>
      <c r="DP94" s="21">
        <v>434721</v>
      </c>
      <c r="DQ94" s="20">
        <f t="shared" si="33"/>
        <v>57280</v>
      </c>
      <c r="DR94" s="20">
        <f t="shared" si="34"/>
        <v>125001.2708564482</v>
      </c>
      <c r="DS94" s="20">
        <f t="shared" si="44"/>
        <v>252439.72914355178</v>
      </c>
      <c r="DT94" s="23">
        <f t="shared" si="45"/>
        <v>0.58069366132197842</v>
      </c>
      <c r="DU94" s="20">
        <f t="shared" si="35"/>
        <v>4040351.435130422</v>
      </c>
      <c r="DV94" s="20">
        <f t="shared" si="36"/>
        <v>1379395.6733515542</v>
      </c>
      <c r="DW94" s="20">
        <f t="shared" si="37"/>
        <v>887130.16551048111</v>
      </c>
      <c r="DX94" s="20">
        <f t="shared" si="38"/>
        <v>199330.82</v>
      </c>
      <c r="DY94" s="20">
        <f t="shared" si="39"/>
        <v>0</v>
      </c>
      <c r="DZ94" s="20">
        <f t="shared" si="40"/>
        <v>0</v>
      </c>
      <c r="EA94" s="20">
        <f t="shared" si="41"/>
        <v>0</v>
      </c>
      <c r="EB94" s="20">
        <f t="shared" si="42"/>
        <v>55921.759999999995</v>
      </c>
      <c r="EC94" s="20">
        <f t="shared" si="46"/>
        <v>252439.72914355178</v>
      </c>
      <c r="ED94" s="20">
        <f t="shared" si="47"/>
        <v>57280</v>
      </c>
      <c r="EE94" s="20">
        <f t="shared" si="47"/>
        <v>125001.2708564482</v>
      </c>
      <c r="EF94" s="20">
        <f t="shared" si="48"/>
        <v>434721</v>
      </c>
      <c r="EG94" s="23">
        <f t="shared" si="49"/>
        <v>0.58069366132197842</v>
      </c>
      <c r="EH94" s="20">
        <f t="shared" si="50"/>
        <v>6996850.8539924575</v>
      </c>
    </row>
    <row r="95" spans="1:138" x14ac:dyDescent="0.25">
      <c r="A95" s="18">
        <v>313</v>
      </c>
      <c r="B95" t="s">
        <v>236</v>
      </c>
      <c r="C95" t="s">
        <v>135</v>
      </c>
      <c r="D95">
        <v>4</v>
      </c>
      <c r="E95">
        <v>380</v>
      </c>
      <c r="F95" s="19">
        <f t="shared" si="43"/>
        <v>0.13157894736842105</v>
      </c>
      <c r="G95">
        <v>50</v>
      </c>
      <c r="H95" s="20">
        <v>191050.75104188372</v>
      </c>
      <c r="I95" s="20">
        <v>110891.27068881014</v>
      </c>
      <c r="J95" s="20">
        <v>152914.74921665495</v>
      </c>
      <c r="K95" s="20">
        <v>0</v>
      </c>
      <c r="L95" s="20">
        <v>0</v>
      </c>
      <c r="M95" s="20">
        <v>89505.059196611037</v>
      </c>
      <c r="N95" s="20">
        <v>59866.796146808359</v>
      </c>
      <c r="O95" s="20">
        <v>0</v>
      </c>
      <c r="P95" s="20">
        <v>0</v>
      </c>
      <c r="Q95" s="20">
        <v>0</v>
      </c>
      <c r="R95" s="20"/>
      <c r="S95" s="20">
        <v>77625.750694703253</v>
      </c>
      <c r="T95" s="20">
        <v>60676.224767295193</v>
      </c>
      <c r="U95" s="20">
        <v>99432.634749854755</v>
      </c>
      <c r="V95" s="20">
        <v>110891.27068881014</v>
      </c>
      <c r="W95" s="20">
        <v>110891.27068881014</v>
      </c>
      <c r="X95" s="20">
        <v>110891.27068881014</v>
      </c>
      <c r="Y95" s="20">
        <v>110891.27068881014</v>
      </c>
      <c r="Z95" s="20">
        <f>110891.27068881-AA95</f>
        <v>-1.4551915228366852E-10</v>
      </c>
      <c r="AA95" s="20">
        <v>110891.27068881014</v>
      </c>
      <c r="AB95" s="20">
        <v>221782.54137762028</v>
      </c>
      <c r="AC95" s="20">
        <v>66822.315389129435</v>
      </c>
      <c r="AD95" s="20">
        <v>0</v>
      </c>
      <c r="AE95" s="20">
        <v>0</v>
      </c>
      <c r="AF95" s="20">
        <v>221782.54137762028</v>
      </c>
      <c r="AG95" s="20">
        <v>66822.315389129435</v>
      </c>
      <c r="AH95" s="20">
        <v>221782.54137762028</v>
      </c>
      <c r="AI95" s="20">
        <v>66822.315389129435</v>
      </c>
      <c r="AJ95" s="20">
        <v>221782.54137762028</v>
      </c>
      <c r="AK95" s="20">
        <v>221782.54137762028</v>
      </c>
      <c r="AL95" s="20">
        <v>221782.54137762028</v>
      </c>
      <c r="AM95" s="20">
        <v>332673.8120664304</v>
      </c>
      <c r="AN95" s="20">
        <v>332673.8120664304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/>
      <c r="AX95" s="20">
        <v>0</v>
      </c>
      <c r="AY95" s="20">
        <v>55445.635344405069</v>
      </c>
      <c r="AZ95" s="20">
        <v>110891.27068881014</v>
      </c>
      <c r="BA95" s="20">
        <v>221782.54137762028</v>
      </c>
      <c r="BB95" s="20">
        <v>0</v>
      </c>
      <c r="BC95" s="20">
        <v>0</v>
      </c>
      <c r="BD95" s="20">
        <v>0</v>
      </c>
      <c r="BE95" s="20">
        <v>221782.54137762028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/>
      <c r="BM95" s="20">
        <v>0</v>
      </c>
      <c r="BN95" s="20">
        <v>0</v>
      </c>
      <c r="BO95" s="20">
        <v>0</v>
      </c>
      <c r="BP95" s="20">
        <v>9275</v>
      </c>
      <c r="BQ95" s="20">
        <v>114084.97559574516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/>
      <c r="CM95" s="20">
        <v>0</v>
      </c>
      <c r="CN95" s="20">
        <v>0</v>
      </c>
      <c r="CO95" s="20">
        <v>55921.759999999995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22011.75</v>
      </c>
      <c r="CV95" s="20">
        <v>0</v>
      </c>
      <c r="CW95" s="20"/>
      <c r="CX95" s="20">
        <v>0</v>
      </c>
      <c r="CY95" s="20">
        <v>0</v>
      </c>
      <c r="CZ95" s="20">
        <v>0</v>
      </c>
      <c r="DA95" s="20">
        <v>0</v>
      </c>
      <c r="DB95" s="20">
        <v>38000</v>
      </c>
      <c r="DC95" s="20">
        <v>69502.353603639174</v>
      </c>
      <c r="DD95" s="20">
        <v>0</v>
      </c>
      <c r="DE95" s="20">
        <v>0</v>
      </c>
      <c r="DF95" s="20">
        <v>0</v>
      </c>
      <c r="DG95" s="20">
        <v>24154</v>
      </c>
      <c r="DH95" s="20">
        <v>0</v>
      </c>
      <c r="DI95" s="20"/>
      <c r="DJ95" s="20">
        <v>4899.9998657032847</v>
      </c>
      <c r="DK95" s="22">
        <v>0</v>
      </c>
      <c r="DL95" s="20">
        <v>0</v>
      </c>
      <c r="DM95" s="20">
        <v>0</v>
      </c>
      <c r="DN95" s="20">
        <v>4540681.2363661863</v>
      </c>
      <c r="DO95" s="20">
        <f t="shared" ref="DO95:DO118" si="52">SUM(H95:Q95,V95:Z95,AB95:AW95,CE95:CF95,CK95,CM95:CN95,CP95:CQ95,CU95,DB95:DC95)</f>
        <v>3373817.631215618</v>
      </c>
      <c r="DP95" s="21">
        <v>115617</v>
      </c>
      <c r="DQ95" s="20">
        <f t="shared" si="33"/>
        <v>0</v>
      </c>
      <c r="DR95" s="20">
        <f t="shared" si="34"/>
        <v>115791.27055451342</v>
      </c>
      <c r="DS95" s="20">
        <f t="shared" si="44"/>
        <v>-174.27055451342312</v>
      </c>
      <c r="DT95" s="23">
        <f t="shared" si="45"/>
        <v>-1.507309085285236E-3</v>
      </c>
      <c r="DU95" s="20">
        <f t="shared" si="35"/>
        <v>3749965.4875777299</v>
      </c>
      <c r="DV95" s="20">
        <f t="shared" si="36"/>
        <v>388119.44741083548</v>
      </c>
      <c r="DW95" s="20">
        <f t="shared" si="37"/>
        <v>221782.54137762028</v>
      </c>
      <c r="DX95" s="20">
        <f t="shared" si="38"/>
        <v>9275</v>
      </c>
      <c r="DY95" s="20">
        <f t="shared" si="39"/>
        <v>0</v>
      </c>
      <c r="DZ95" s="20">
        <f t="shared" si="40"/>
        <v>0</v>
      </c>
      <c r="EA95" s="20">
        <f t="shared" si="41"/>
        <v>0</v>
      </c>
      <c r="EB95" s="20">
        <f t="shared" si="42"/>
        <v>55921.759999999995</v>
      </c>
      <c r="EC95" s="20">
        <f t="shared" si="46"/>
        <v>-174.27055451342312</v>
      </c>
      <c r="ED95" s="20">
        <f t="shared" si="47"/>
        <v>0</v>
      </c>
      <c r="EE95" s="20">
        <f t="shared" si="47"/>
        <v>115791.27055451342</v>
      </c>
      <c r="EF95" s="20">
        <f t="shared" si="48"/>
        <v>115617</v>
      </c>
      <c r="EG95" s="23">
        <f t="shared" si="49"/>
        <v>-1.507309085285236E-3</v>
      </c>
      <c r="EH95" s="20">
        <f t="shared" si="50"/>
        <v>4540681.2363661854</v>
      </c>
    </row>
    <row r="96" spans="1:138" x14ac:dyDescent="0.25">
      <c r="A96" s="18">
        <v>315</v>
      </c>
      <c r="B96" t="s">
        <v>237</v>
      </c>
      <c r="C96" t="s">
        <v>135</v>
      </c>
      <c r="D96">
        <v>8</v>
      </c>
      <c r="E96">
        <v>253</v>
      </c>
      <c r="F96" s="19">
        <f t="shared" si="43"/>
        <v>0.69565217391304346</v>
      </c>
      <c r="G96">
        <v>176</v>
      </c>
      <c r="H96" s="20">
        <v>191050.75104188372</v>
      </c>
      <c r="I96" s="20">
        <v>110891.27068881014</v>
      </c>
      <c r="J96" s="20">
        <v>0</v>
      </c>
      <c r="K96" s="20">
        <v>0</v>
      </c>
      <c r="L96" s="20">
        <v>0</v>
      </c>
      <c r="M96" s="20">
        <v>44752.529598305518</v>
      </c>
      <c r="N96" s="20">
        <v>59866.796146808359</v>
      </c>
      <c r="O96" s="20">
        <v>0</v>
      </c>
      <c r="P96" s="20">
        <v>0</v>
      </c>
      <c r="Q96" s="20">
        <v>0</v>
      </c>
      <c r="R96" s="20"/>
      <c r="S96" s="20">
        <v>77625.750694703253</v>
      </c>
      <c r="T96" s="20">
        <v>60676.224767295193</v>
      </c>
      <c r="U96" s="20">
        <v>49716.317374927377</v>
      </c>
      <c r="V96" s="20">
        <v>55445.635344405069</v>
      </c>
      <c r="W96" s="20">
        <v>110891.27068881014</v>
      </c>
      <c r="X96" s="20">
        <v>110891.27068881014</v>
      </c>
      <c r="Y96" s="20">
        <v>110891.27068881014</v>
      </c>
      <c r="Z96" s="20">
        <v>0</v>
      </c>
      <c r="AA96" s="20"/>
      <c r="AB96" s="20">
        <v>110891.27068881014</v>
      </c>
      <c r="AC96" s="20">
        <v>33411.157694564718</v>
      </c>
      <c r="AD96" s="20">
        <v>110891.27068881014</v>
      </c>
      <c r="AE96" s="20">
        <v>33411.157694564718</v>
      </c>
      <c r="AF96" s="20">
        <v>110891.27068881014</v>
      </c>
      <c r="AG96" s="20">
        <v>33411.157694564718</v>
      </c>
      <c r="AH96" s="20">
        <v>221782.54137762028</v>
      </c>
      <c r="AI96" s="20">
        <v>66822.315389129435</v>
      </c>
      <c r="AJ96" s="20">
        <v>221782.54137762028</v>
      </c>
      <c r="AK96" s="20">
        <v>221782.54137762028</v>
      </c>
      <c r="AL96" s="20">
        <v>221782.54137762028</v>
      </c>
      <c r="AM96" s="20">
        <v>221782.54137762028</v>
      </c>
      <c r="AN96" s="20">
        <v>221782.54137762028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/>
      <c r="AX96" s="20">
        <v>0</v>
      </c>
      <c r="AY96" s="20">
        <v>110891.27068881014</v>
      </c>
      <c r="AZ96" s="20">
        <v>110891.27068881014</v>
      </c>
      <c r="BA96" s="20">
        <v>554456.35344405065</v>
      </c>
      <c r="BB96" s="20">
        <v>133644.63077825887</v>
      </c>
      <c r="BC96" s="20">
        <v>0</v>
      </c>
      <c r="BD96" s="20">
        <v>0</v>
      </c>
      <c r="BE96" s="20">
        <v>110891.27068881014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/>
      <c r="BM96" s="20">
        <v>0</v>
      </c>
      <c r="BN96" s="20">
        <v>107822.24</v>
      </c>
      <c r="BO96" s="20">
        <v>1783.8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/>
      <c r="CM96" s="20">
        <v>0</v>
      </c>
      <c r="CN96" s="20">
        <v>0</v>
      </c>
      <c r="CO96" s="20">
        <v>55921.759999999995</v>
      </c>
      <c r="CP96" s="20">
        <v>0</v>
      </c>
      <c r="CQ96" s="20">
        <v>0</v>
      </c>
      <c r="CR96" s="20">
        <v>75000</v>
      </c>
      <c r="CS96" s="20">
        <v>3520</v>
      </c>
      <c r="CT96" s="20">
        <v>41760</v>
      </c>
      <c r="CU96" s="20">
        <v>15532.207692307693</v>
      </c>
      <c r="CV96" s="20">
        <v>0</v>
      </c>
      <c r="CW96" s="20"/>
      <c r="CX96" s="20">
        <v>0</v>
      </c>
      <c r="CY96" s="20">
        <v>0</v>
      </c>
      <c r="CZ96" s="20">
        <v>0</v>
      </c>
      <c r="DA96" s="20">
        <v>0</v>
      </c>
      <c r="DB96" s="20">
        <v>25300</v>
      </c>
      <c r="DC96" s="20">
        <v>62398.105598358285</v>
      </c>
      <c r="DD96" s="20">
        <v>0</v>
      </c>
      <c r="DE96" s="20">
        <v>0</v>
      </c>
      <c r="DF96" s="20">
        <v>13859</v>
      </c>
      <c r="DG96" s="20">
        <v>0</v>
      </c>
      <c r="DH96" s="20">
        <v>0</v>
      </c>
      <c r="DI96" s="20"/>
      <c r="DJ96" s="20">
        <v>19500.000464916229</v>
      </c>
      <c r="DK96" s="22">
        <v>0</v>
      </c>
      <c r="DL96" s="20">
        <v>0</v>
      </c>
      <c r="DM96" s="20">
        <v>0</v>
      </c>
      <c r="DN96" s="20">
        <v>4256295.8465728667</v>
      </c>
      <c r="DO96" s="20">
        <f t="shared" si="52"/>
        <v>2728335.9569822852</v>
      </c>
      <c r="DP96" s="21">
        <v>406973</v>
      </c>
      <c r="DQ96" s="20">
        <f t="shared" si="33"/>
        <v>0</v>
      </c>
      <c r="DR96" s="20">
        <f t="shared" si="34"/>
        <v>64780.000464916229</v>
      </c>
      <c r="DS96" s="20">
        <f t="shared" si="44"/>
        <v>342192.99953508377</v>
      </c>
      <c r="DT96" s="23">
        <f t="shared" si="45"/>
        <v>0.84082482016026561</v>
      </c>
      <c r="DU96" s="20">
        <f t="shared" si="35"/>
        <v>2588020.250284127</v>
      </c>
      <c r="DV96" s="20">
        <f t="shared" si="36"/>
        <v>909883.52559992985</v>
      </c>
      <c r="DW96" s="20">
        <f t="shared" si="37"/>
        <v>110891.27068881014</v>
      </c>
      <c r="DX96" s="20">
        <f t="shared" si="38"/>
        <v>184606.04</v>
      </c>
      <c r="DY96" s="20">
        <f t="shared" si="39"/>
        <v>0</v>
      </c>
      <c r="DZ96" s="20">
        <f t="shared" si="40"/>
        <v>0</v>
      </c>
      <c r="EA96" s="20">
        <f t="shared" si="41"/>
        <v>0</v>
      </c>
      <c r="EB96" s="20">
        <f t="shared" si="42"/>
        <v>55921.759999999995</v>
      </c>
      <c r="EC96" s="20">
        <f t="shared" si="46"/>
        <v>342192.99953508377</v>
      </c>
      <c r="ED96" s="20">
        <f t="shared" si="47"/>
        <v>0</v>
      </c>
      <c r="EE96" s="20">
        <f t="shared" si="47"/>
        <v>64780.000464916229</v>
      </c>
      <c r="EF96" s="20">
        <f t="shared" si="48"/>
        <v>406973</v>
      </c>
      <c r="EG96" s="23">
        <f t="shared" si="49"/>
        <v>0.84082482016026561</v>
      </c>
      <c r="EH96" s="20">
        <f t="shared" si="50"/>
        <v>4256295.8465728667</v>
      </c>
    </row>
    <row r="97" spans="1:138" x14ac:dyDescent="0.25">
      <c r="A97" s="18">
        <v>322</v>
      </c>
      <c r="B97" t="s">
        <v>238</v>
      </c>
      <c r="C97" t="s">
        <v>135</v>
      </c>
      <c r="D97">
        <v>7</v>
      </c>
      <c r="E97">
        <v>258</v>
      </c>
      <c r="F97" s="19">
        <f t="shared" si="43"/>
        <v>0.73643410852713176</v>
      </c>
      <c r="G97">
        <v>190</v>
      </c>
      <c r="H97" s="20">
        <v>191050.75104188372</v>
      </c>
      <c r="I97" s="20">
        <v>110891.27068881014</v>
      </c>
      <c r="J97" s="20">
        <v>0</v>
      </c>
      <c r="K97" s="20">
        <v>0</v>
      </c>
      <c r="L97" s="20">
        <v>0</v>
      </c>
      <c r="M97" s="20">
        <v>44752.529598305518</v>
      </c>
      <c r="N97" s="20">
        <v>59866.796146808359</v>
      </c>
      <c r="O97" s="20">
        <v>0</v>
      </c>
      <c r="P97" s="20">
        <v>0</v>
      </c>
      <c r="Q97" s="20">
        <v>0</v>
      </c>
      <c r="R97" s="20"/>
      <c r="S97" s="20">
        <v>77625.750694703253</v>
      </c>
      <c r="T97" s="20">
        <v>60676.224767295193</v>
      </c>
      <c r="U97" s="20">
        <v>49716.317374927377</v>
      </c>
      <c r="V97" s="20">
        <v>55445.635344405069</v>
      </c>
      <c r="W97" s="20">
        <v>110891.27068881014</v>
      </c>
      <c r="X97" s="20">
        <v>110891.27068881014</v>
      </c>
      <c r="Y97" s="20">
        <v>110891.27068881014</v>
      </c>
      <c r="Z97" s="20">
        <v>0</v>
      </c>
      <c r="AA97" s="20"/>
      <c r="AB97" s="20">
        <v>221782.54137762028</v>
      </c>
      <c r="AC97" s="20">
        <v>66822.315389129435</v>
      </c>
      <c r="AD97" s="20">
        <v>0</v>
      </c>
      <c r="AE97" s="20">
        <v>0</v>
      </c>
      <c r="AF97" s="20">
        <v>221782.54137762028</v>
      </c>
      <c r="AG97" s="20">
        <v>66822.315389129435</v>
      </c>
      <c r="AH97" s="20">
        <v>221782.54137762028</v>
      </c>
      <c r="AI97" s="20">
        <v>66822.315389129435</v>
      </c>
      <c r="AJ97" s="20">
        <v>221782.54137762028</v>
      </c>
      <c r="AK97" s="20">
        <v>221782.54137762028</v>
      </c>
      <c r="AL97" s="20">
        <v>221782.54137762028</v>
      </c>
      <c r="AM97" s="20">
        <v>221782.54137762028</v>
      </c>
      <c r="AN97" s="20">
        <v>110891.27068881014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/>
      <c r="AX97" s="20">
        <v>0</v>
      </c>
      <c r="AY97" s="20">
        <v>110891.27068881014</v>
      </c>
      <c r="AZ97" s="20">
        <v>110891.27068881014</v>
      </c>
      <c r="BA97" s="20">
        <v>776238.89482167095</v>
      </c>
      <c r="BB97" s="20">
        <v>133644.63077825887</v>
      </c>
      <c r="BC97" s="20">
        <v>0</v>
      </c>
      <c r="BD97" s="20">
        <v>0</v>
      </c>
      <c r="BE97" s="20">
        <v>221782.54137762028</v>
      </c>
      <c r="BF97" s="20">
        <v>0</v>
      </c>
      <c r="BG97" s="20">
        <v>0</v>
      </c>
      <c r="BH97" s="21">
        <f>28640-7160</f>
        <v>21480</v>
      </c>
      <c r="BI97" s="21">
        <f>28640-7160</f>
        <v>21480</v>
      </c>
      <c r="BJ97" s="20"/>
      <c r="BK97" s="20">
        <v>0</v>
      </c>
      <c r="BL97" s="20"/>
      <c r="BM97" s="20">
        <v>25060</v>
      </c>
      <c r="BN97" s="20">
        <v>105265.19</v>
      </c>
      <c r="BO97" s="20">
        <v>1741.5</v>
      </c>
      <c r="BP97" s="20">
        <v>0</v>
      </c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  <c r="CA97" s="20">
        <v>0</v>
      </c>
      <c r="CB97" s="20">
        <v>110891.27068881014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/>
      <c r="CM97" s="20">
        <v>0</v>
      </c>
      <c r="CN97" s="20">
        <v>0</v>
      </c>
      <c r="CO97" s="20">
        <v>111843.51999999999</v>
      </c>
      <c r="CP97" s="20">
        <v>0</v>
      </c>
      <c r="CQ97" s="20">
        <v>0</v>
      </c>
      <c r="CR97" s="20">
        <v>75000</v>
      </c>
      <c r="CS97" s="20">
        <v>3800</v>
      </c>
      <c r="CT97" s="20">
        <v>219600</v>
      </c>
      <c r="CU97" s="20">
        <v>14808.994065281899</v>
      </c>
      <c r="CV97" s="20">
        <v>0</v>
      </c>
      <c r="CW97" s="20"/>
      <c r="CX97" s="20">
        <v>0</v>
      </c>
      <c r="CY97" s="20">
        <v>0</v>
      </c>
      <c r="CZ97" s="20">
        <v>0</v>
      </c>
      <c r="DA97" s="20">
        <v>0</v>
      </c>
      <c r="DB97" s="20">
        <v>25800</v>
      </c>
      <c r="DC97" s="20">
        <v>71155.297611510294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/>
      <c r="DJ97" s="20">
        <v>12649.999606609344</v>
      </c>
      <c r="DK97" s="22">
        <v>0</v>
      </c>
      <c r="DL97" s="20">
        <v>0</v>
      </c>
      <c r="DM97" s="20">
        <v>0</v>
      </c>
      <c r="DN97" s="20">
        <v>5020559.4745504912</v>
      </c>
      <c r="DO97" s="20">
        <f t="shared" si="52"/>
        <v>2770281.0930629754</v>
      </c>
      <c r="DP97" s="21">
        <v>439346</v>
      </c>
      <c r="DQ97" s="20">
        <f t="shared" si="33"/>
        <v>42960</v>
      </c>
      <c r="DR97" s="20">
        <f t="shared" si="34"/>
        <v>346941.2702954195</v>
      </c>
      <c r="DS97" s="20">
        <f t="shared" si="44"/>
        <v>49444.729704580503</v>
      </c>
      <c r="DT97" s="23">
        <f t="shared" si="45"/>
        <v>0.11254166352847302</v>
      </c>
      <c r="DU97" s="20">
        <f t="shared" si="35"/>
        <v>2908854.6561953211</v>
      </c>
      <c r="DV97" s="20">
        <f t="shared" si="36"/>
        <v>1131666.06697755</v>
      </c>
      <c r="DW97" s="20">
        <f t="shared" si="37"/>
        <v>221782.54137762028</v>
      </c>
      <c r="DX97" s="20">
        <f t="shared" si="38"/>
        <v>207066.69</v>
      </c>
      <c r="DY97" s="20">
        <f t="shared" si="39"/>
        <v>0</v>
      </c>
      <c r="DZ97" s="20">
        <f t="shared" si="40"/>
        <v>0</v>
      </c>
      <c r="EA97" s="20">
        <f t="shared" si="41"/>
        <v>0</v>
      </c>
      <c r="EB97" s="20">
        <f t="shared" si="42"/>
        <v>111843.51999999999</v>
      </c>
      <c r="EC97" s="20">
        <f t="shared" si="46"/>
        <v>49444.729704580503</v>
      </c>
      <c r="ED97" s="20">
        <f t="shared" si="47"/>
        <v>42960</v>
      </c>
      <c r="EE97" s="20">
        <f t="shared" si="47"/>
        <v>346941.2702954195</v>
      </c>
      <c r="EF97" s="20">
        <f t="shared" si="48"/>
        <v>439346</v>
      </c>
      <c r="EG97" s="23">
        <f t="shared" si="49"/>
        <v>0.11254166352847302</v>
      </c>
      <c r="EH97" s="20">
        <f t="shared" si="50"/>
        <v>5020559.4745504912</v>
      </c>
    </row>
    <row r="98" spans="1:138" x14ac:dyDescent="0.25">
      <c r="A98" s="18">
        <v>427</v>
      </c>
      <c r="B98" t="s">
        <v>239</v>
      </c>
      <c r="C98" t="s">
        <v>152</v>
      </c>
      <c r="D98">
        <v>7</v>
      </c>
      <c r="E98">
        <v>334</v>
      </c>
      <c r="F98" s="19">
        <f t="shared" si="43"/>
        <v>0.54491017964071853</v>
      </c>
      <c r="G98">
        <v>182</v>
      </c>
      <c r="H98" s="20">
        <v>191050.75104188372</v>
      </c>
      <c r="I98" s="20">
        <v>110891.27068881014</v>
      </c>
      <c r="J98" s="20">
        <v>168206.22413832045</v>
      </c>
      <c r="K98" s="20">
        <v>110891.27068881014</v>
      </c>
      <c r="L98" s="20">
        <v>0</v>
      </c>
      <c r="M98" s="20">
        <v>89505.059196611037</v>
      </c>
      <c r="N98" s="20">
        <v>59866.796146808359</v>
      </c>
      <c r="O98" s="20">
        <v>0</v>
      </c>
      <c r="P98" s="20">
        <v>0</v>
      </c>
      <c r="Q98" s="20">
        <v>0</v>
      </c>
      <c r="R98" s="20"/>
      <c r="S98" s="20">
        <v>77625.750694703253</v>
      </c>
      <c r="T98" s="20">
        <v>60676.224767295193</v>
      </c>
      <c r="U98" s="20">
        <v>198865.26949970951</v>
      </c>
      <c r="V98" s="20">
        <v>110891.27068881014</v>
      </c>
      <c r="W98" s="20">
        <v>0</v>
      </c>
      <c r="X98" s="20">
        <v>0</v>
      </c>
      <c r="Y98" s="20">
        <v>0</v>
      </c>
      <c r="Z98" s="20">
        <v>0</v>
      </c>
      <c r="AA98" s="20"/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532278.09930628864</v>
      </c>
      <c r="AP98" s="20">
        <v>654258.49706397986</v>
      </c>
      <c r="AQ98" s="20">
        <v>499010.71809964563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/>
      <c r="AX98" s="20">
        <v>0</v>
      </c>
      <c r="AY98" s="20">
        <v>110891.27068881014</v>
      </c>
      <c r="AZ98" s="20">
        <v>166336.9060332152</v>
      </c>
      <c r="BA98" s="20">
        <v>887130.16551048111</v>
      </c>
      <c r="BB98" s="20">
        <v>66822.315389129435</v>
      </c>
      <c r="BC98" s="20">
        <v>0</v>
      </c>
      <c r="BD98" s="20">
        <v>0</v>
      </c>
      <c r="BE98" s="20">
        <v>40324.098432294595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/>
      <c r="BM98" s="20">
        <v>0</v>
      </c>
      <c r="BN98" s="20">
        <v>123164.53</v>
      </c>
      <c r="BO98" s="20">
        <v>2037.62</v>
      </c>
      <c r="BP98" s="20">
        <v>0</v>
      </c>
      <c r="BQ98" s="20">
        <v>0</v>
      </c>
      <c r="BR98" s="20">
        <v>110891.27068881014</v>
      </c>
      <c r="BS98" s="20">
        <v>152914.74921665495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221782.54137762028</v>
      </c>
      <c r="CL98" s="20"/>
      <c r="CM98" s="20">
        <v>23000</v>
      </c>
      <c r="CN98" s="20">
        <v>5000</v>
      </c>
      <c r="CO98" s="20">
        <v>244045.91999999998</v>
      </c>
      <c r="CP98" s="20">
        <v>100000</v>
      </c>
      <c r="CQ98" s="20">
        <v>0</v>
      </c>
      <c r="CR98" s="20">
        <v>0</v>
      </c>
      <c r="CS98" s="20">
        <v>3640</v>
      </c>
      <c r="CT98" s="20">
        <v>0</v>
      </c>
      <c r="CU98" s="20">
        <v>26112.078481012657</v>
      </c>
      <c r="CV98" s="20">
        <v>0</v>
      </c>
      <c r="CW98" s="20"/>
      <c r="CX98" s="20">
        <v>0</v>
      </c>
      <c r="CY98" s="20">
        <v>0</v>
      </c>
      <c r="CZ98" s="20">
        <v>0</v>
      </c>
      <c r="DA98" s="20">
        <v>0</v>
      </c>
      <c r="DB98" s="20">
        <v>33400</v>
      </c>
      <c r="DC98" s="20">
        <v>76009.879361674932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/>
      <c r="DJ98" s="20">
        <v>51749.998927116394</v>
      </c>
      <c r="DK98" s="22">
        <v>0</v>
      </c>
      <c r="DL98" s="20">
        <v>0</v>
      </c>
      <c r="DM98" s="20">
        <v>0</v>
      </c>
      <c r="DN98" s="20">
        <v>5309270.5461284965</v>
      </c>
      <c r="DO98" s="20">
        <f t="shared" si="52"/>
        <v>3012154.4562802762</v>
      </c>
      <c r="DP98" s="21">
        <v>420847</v>
      </c>
      <c r="DQ98" s="20">
        <f t="shared" ref="DQ98:DQ118" si="53">SUM(BH98:BK98)</f>
        <v>0</v>
      </c>
      <c r="DR98" s="20">
        <f t="shared" ref="DR98:DR118" si="54">SUM(R98,AA98,AX98,BS98:BZ98,CB98:CD98,CG98:CI98,CL98,CS98:CT98,CV98,DJ98)</f>
        <v>208304.74814377134</v>
      </c>
      <c r="DS98" s="20">
        <f t="shared" si="44"/>
        <v>212542.25185622866</v>
      </c>
      <c r="DT98" s="23">
        <f t="shared" si="45"/>
        <v>0.5050344943797358</v>
      </c>
      <c r="DU98" s="20">
        <f t="shared" ref="DU98:DU118" si="55">SUM(H98:Q98,S98:Z98,AB98:AW98,BL98,BQ98:BR98,CE98:CF98,CJ98:CK98,CM98:CN98,CP98:CQ98,CU98,CW98:DC98,DF98:DI98,DM98)-EC98</f>
        <v>3247670.7200745651</v>
      </c>
      <c r="DV98" s="20">
        <f t="shared" ref="DV98:DV118" si="56">SUM(AY98:BD98)</f>
        <v>1231180.6576216358</v>
      </c>
      <c r="DW98" s="20">
        <f t="shared" ref="DW98:DW118" si="57">SUM(BE98:BG98)</f>
        <v>40324.098432294595</v>
      </c>
      <c r="DX98" s="20">
        <f t="shared" ref="DX98:DX118" si="58">SUM(BM98:BP98,CA98,CR98,DK98,)</f>
        <v>125202.15</v>
      </c>
      <c r="DY98" s="20">
        <f t="shared" ref="DY98:DY118" si="59">DE98</f>
        <v>0</v>
      </c>
      <c r="DZ98" s="20">
        <f t="shared" ref="DZ98:DZ118" si="60">DD98</f>
        <v>0</v>
      </c>
      <c r="EA98" s="20">
        <f t="shared" ref="EA98:EA118" si="61">DL98</f>
        <v>0</v>
      </c>
      <c r="EB98" s="20">
        <f t="shared" ref="EB98:EB118" si="62">CO98</f>
        <v>244045.91999999998</v>
      </c>
      <c r="EC98" s="20">
        <f t="shared" si="46"/>
        <v>212542.25185622866</v>
      </c>
      <c r="ED98" s="20">
        <f t="shared" si="47"/>
        <v>0</v>
      </c>
      <c r="EE98" s="20">
        <f t="shared" si="47"/>
        <v>208304.74814377134</v>
      </c>
      <c r="EF98" s="20">
        <f t="shared" si="48"/>
        <v>420847</v>
      </c>
      <c r="EG98" s="23">
        <f t="shared" si="49"/>
        <v>0.5050344943797358</v>
      </c>
      <c r="EH98" s="20">
        <f t="shared" si="50"/>
        <v>5309270.5461284965</v>
      </c>
    </row>
    <row r="99" spans="1:138" x14ac:dyDescent="0.25">
      <c r="A99" s="18">
        <v>319</v>
      </c>
      <c r="B99" t="s">
        <v>240</v>
      </c>
      <c r="C99" t="s">
        <v>135</v>
      </c>
      <c r="D99">
        <v>8</v>
      </c>
      <c r="E99">
        <v>433</v>
      </c>
      <c r="F99" s="19">
        <f t="shared" si="43"/>
        <v>0.91224018475750579</v>
      </c>
      <c r="G99">
        <v>395</v>
      </c>
      <c r="H99" s="20">
        <v>191050.75104188372</v>
      </c>
      <c r="I99" s="20">
        <v>110891.27068881014</v>
      </c>
      <c r="J99" s="20">
        <v>168206.22413832045</v>
      </c>
      <c r="K99" s="20">
        <v>0</v>
      </c>
      <c r="L99" s="20">
        <v>0</v>
      </c>
      <c r="M99" s="20">
        <v>89505.059196611037</v>
      </c>
      <c r="N99" s="20">
        <v>59866.796146808359</v>
      </c>
      <c r="O99" s="20">
        <v>49314.313266129648</v>
      </c>
      <c r="P99" s="20">
        <v>0</v>
      </c>
      <c r="Q99" s="20">
        <v>0</v>
      </c>
      <c r="R99" s="20"/>
      <c r="S99" s="20">
        <v>77625.750694703253</v>
      </c>
      <c r="T99" s="20">
        <v>60676.224767295193</v>
      </c>
      <c r="U99" s="20">
        <v>99432.634749854755</v>
      </c>
      <c r="V99" s="20">
        <v>110891.27068881014</v>
      </c>
      <c r="W99" s="20">
        <v>110891.27068881014</v>
      </c>
      <c r="X99" s="20">
        <v>110891.27068881014</v>
      </c>
      <c r="Y99" s="20">
        <v>110891.27068881014</v>
      </c>
      <c r="Z99" s="20">
        <v>166336.9060332152</v>
      </c>
      <c r="AA99" s="20"/>
      <c r="AB99" s="20">
        <v>221782.54137762028</v>
      </c>
      <c r="AC99" s="20">
        <v>66822.315389129435</v>
      </c>
      <c r="AD99" s="20">
        <v>0</v>
      </c>
      <c r="AE99" s="20">
        <v>0</v>
      </c>
      <c r="AF99" s="20">
        <v>332673.8120664304</v>
      </c>
      <c r="AG99" s="20">
        <v>100233.47308369415</v>
      </c>
      <c r="AH99" s="20">
        <v>332673.8120664304</v>
      </c>
      <c r="AI99" s="20">
        <v>100233.47308369415</v>
      </c>
      <c r="AJ99" s="20">
        <v>332673.8120664304</v>
      </c>
      <c r="AK99" s="20">
        <v>332673.8120664304</v>
      </c>
      <c r="AL99" s="20">
        <v>332673.8120664304</v>
      </c>
      <c r="AM99" s="20">
        <v>332673.8120664304</v>
      </c>
      <c r="AN99" s="20">
        <v>332673.8120664304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/>
      <c r="AX99" s="20">
        <v>0</v>
      </c>
      <c r="AY99" s="20">
        <v>110891.27068881014</v>
      </c>
      <c r="AZ99" s="20">
        <v>221782.54137762028</v>
      </c>
      <c r="BA99" s="20">
        <v>887130.16551048111</v>
      </c>
      <c r="BB99" s="20">
        <v>133644.63077825887</v>
      </c>
      <c r="BC99" s="20">
        <v>0</v>
      </c>
      <c r="BD99" s="20">
        <v>0</v>
      </c>
      <c r="BE99" s="20">
        <v>10081.024608073649</v>
      </c>
      <c r="BF99" s="20">
        <v>0</v>
      </c>
      <c r="BG99" s="20">
        <v>0</v>
      </c>
      <c r="BH99" s="21">
        <f>50120-21480</f>
        <v>28640</v>
      </c>
      <c r="BI99" s="21">
        <f>50120-21480</f>
        <v>28640</v>
      </c>
      <c r="BJ99" s="20"/>
      <c r="BK99" s="20">
        <v>0</v>
      </c>
      <c r="BL99" s="20"/>
      <c r="BM99" s="20">
        <v>53700</v>
      </c>
      <c r="BN99" s="20">
        <v>182829.01</v>
      </c>
      <c r="BO99" s="20">
        <v>3024.7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  <c r="BU99" s="20">
        <v>110891.27068881014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/>
      <c r="CM99" s="20">
        <v>0</v>
      </c>
      <c r="CN99" s="20">
        <v>0</v>
      </c>
      <c r="CO99" s="20">
        <v>111843.51999999999</v>
      </c>
      <c r="CP99" s="20">
        <v>0</v>
      </c>
      <c r="CQ99" s="20">
        <v>0</v>
      </c>
      <c r="CR99" s="20">
        <v>0</v>
      </c>
      <c r="CS99" s="20">
        <v>15800</v>
      </c>
      <c r="CT99" s="20">
        <v>0</v>
      </c>
      <c r="CU99" s="20">
        <v>23521.523890784985</v>
      </c>
      <c r="CV99" s="20">
        <v>0</v>
      </c>
      <c r="CW99" s="20"/>
      <c r="CX99" s="20">
        <v>0</v>
      </c>
      <c r="CY99" s="20">
        <v>0</v>
      </c>
      <c r="CZ99" s="20">
        <v>0</v>
      </c>
      <c r="DA99" s="20">
        <v>0</v>
      </c>
      <c r="DB99" s="20">
        <v>43300</v>
      </c>
      <c r="DC99" s="20">
        <v>91734.405054844392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/>
      <c r="DJ99" s="20">
        <v>46125.001609325409</v>
      </c>
      <c r="DK99" s="22">
        <v>0</v>
      </c>
      <c r="DL99" s="20">
        <v>0</v>
      </c>
      <c r="DM99" s="20">
        <v>0</v>
      </c>
      <c r="DN99" s="25">
        <v>6437838.5650850311</v>
      </c>
      <c r="DO99" s="20">
        <f t="shared" si="52"/>
        <v>4255080.819611798</v>
      </c>
      <c r="DP99" s="21">
        <v>913377</v>
      </c>
      <c r="DQ99" s="20">
        <f t="shared" si="53"/>
        <v>57280</v>
      </c>
      <c r="DR99" s="20">
        <f t="shared" si="54"/>
        <v>172816.27229813556</v>
      </c>
      <c r="DS99" s="20">
        <f t="shared" si="44"/>
        <v>683280.72770186444</v>
      </c>
      <c r="DT99" s="23">
        <f t="shared" si="45"/>
        <v>0.74808181911944838</v>
      </c>
      <c r="DU99" s="20">
        <f t="shared" si="55"/>
        <v>3809534.7021217868</v>
      </c>
      <c r="DV99" s="20">
        <f t="shared" si="56"/>
        <v>1353448.6083551703</v>
      </c>
      <c r="DW99" s="20">
        <f t="shared" si="57"/>
        <v>10081.024608073649</v>
      </c>
      <c r="DX99" s="20">
        <f t="shared" si="58"/>
        <v>239553.71000000002</v>
      </c>
      <c r="DY99" s="20">
        <f t="shared" si="59"/>
        <v>0</v>
      </c>
      <c r="DZ99" s="20">
        <f t="shared" si="60"/>
        <v>0</v>
      </c>
      <c r="EA99" s="20">
        <f t="shared" si="61"/>
        <v>0</v>
      </c>
      <c r="EB99" s="20">
        <f t="shared" si="62"/>
        <v>111843.51999999999</v>
      </c>
      <c r="EC99" s="20">
        <f t="shared" si="46"/>
        <v>683280.72770186444</v>
      </c>
      <c r="ED99" s="20">
        <f t="shared" si="47"/>
        <v>57280</v>
      </c>
      <c r="EE99" s="20">
        <f t="shared" si="47"/>
        <v>172816.27229813556</v>
      </c>
      <c r="EF99" s="20">
        <f t="shared" si="48"/>
        <v>913377</v>
      </c>
      <c r="EG99" s="23">
        <f t="shared" si="49"/>
        <v>0.74808181911944838</v>
      </c>
      <c r="EH99" s="20">
        <f t="shared" si="50"/>
        <v>6437838.5650850302</v>
      </c>
    </row>
    <row r="100" spans="1:138" x14ac:dyDescent="0.25">
      <c r="A100" s="18">
        <v>1142</v>
      </c>
      <c r="B100" t="s">
        <v>241</v>
      </c>
      <c r="C100" t="s">
        <v>135</v>
      </c>
      <c r="D100">
        <v>2</v>
      </c>
      <c r="E100">
        <v>107</v>
      </c>
      <c r="F100" s="19">
        <f t="shared" si="43"/>
        <v>0.49532710280373832</v>
      </c>
      <c r="G100">
        <v>53</v>
      </c>
      <c r="H100" s="20">
        <v>191050.75104188372</v>
      </c>
      <c r="I100" s="20">
        <v>110891.27068881014</v>
      </c>
      <c r="J100" s="20">
        <v>0</v>
      </c>
      <c r="K100" s="20">
        <v>0</v>
      </c>
      <c r="L100" s="20">
        <v>0</v>
      </c>
      <c r="M100" s="20">
        <v>44752.529598305518</v>
      </c>
      <c r="N100" s="20">
        <v>59866.796146808359</v>
      </c>
      <c r="O100" s="20">
        <v>0</v>
      </c>
      <c r="P100" s="20">
        <v>0</v>
      </c>
      <c r="Q100" s="20">
        <v>0</v>
      </c>
      <c r="R100" s="20"/>
      <c r="S100" s="20">
        <v>77625.750694703253</v>
      </c>
      <c r="T100" s="20">
        <v>60676.224767295193</v>
      </c>
      <c r="U100" s="20">
        <v>49716.317374927377</v>
      </c>
      <c r="V100" s="20">
        <v>55445.635344405069</v>
      </c>
      <c r="W100" s="20">
        <v>110891.27068881014</v>
      </c>
      <c r="X100" s="20">
        <v>110891.27068881014</v>
      </c>
      <c r="Y100" s="20">
        <v>110891.27068881014</v>
      </c>
      <c r="Z100" s="20">
        <v>0</v>
      </c>
      <c r="AA100" s="20"/>
      <c r="AB100" s="20">
        <v>332673.8120664304</v>
      </c>
      <c r="AC100" s="20">
        <v>100233.47308369415</v>
      </c>
      <c r="AD100" s="20">
        <v>0</v>
      </c>
      <c r="AE100" s="20">
        <v>0</v>
      </c>
      <c r="AF100" s="20">
        <v>221782.54137762028</v>
      </c>
      <c r="AG100" s="20">
        <v>66822.315389129435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/>
      <c r="AX100" s="20">
        <v>0</v>
      </c>
      <c r="AY100" s="20">
        <v>0</v>
      </c>
      <c r="AZ100" s="20">
        <v>0</v>
      </c>
      <c r="BA100" s="20">
        <v>554456.35344405065</v>
      </c>
      <c r="BB100" s="20">
        <v>133644.63077825887</v>
      </c>
      <c r="BC100" s="20">
        <v>0</v>
      </c>
      <c r="BD100" s="20">
        <v>0</v>
      </c>
      <c r="BE100" s="20">
        <v>40324.098432294595</v>
      </c>
      <c r="BF100" s="20">
        <v>0</v>
      </c>
      <c r="BG100" s="20">
        <v>0</v>
      </c>
      <c r="BH100" s="20">
        <v>14320</v>
      </c>
      <c r="BI100" s="21">
        <f>14320-7160</f>
        <v>7160</v>
      </c>
      <c r="BJ100" s="20"/>
      <c r="BK100" s="20">
        <v>0</v>
      </c>
      <c r="BL100" s="20"/>
      <c r="BM100" s="20">
        <v>17900</v>
      </c>
      <c r="BN100" s="20">
        <v>21161.52</v>
      </c>
      <c r="BO100" s="20">
        <v>324.89999999999998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/>
      <c r="CM100" s="20">
        <v>0</v>
      </c>
      <c r="CN100" s="20">
        <v>0</v>
      </c>
      <c r="CO100" s="20">
        <v>55921.759999999995</v>
      </c>
      <c r="CP100" s="20">
        <v>0</v>
      </c>
      <c r="CQ100" s="20">
        <v>0</v>
      </c>
      <c r="CR100" s="20">
        <v>0</v>
      </c>
      <c r="CS100" s="20">
        <v>0</v>
      </c>
      <c r="CT100" s="20">
        <v>0</v>
      </c>
      <c r="CU100" s="20">
        <v>0</v>
      </c>
      <c r="CV100" s="20">
        <v>0</v>
      </c>
      <c r="CW100" s="20"/>
      <c r="CX100" s="20">
        <v>0</v>
      </c>
      <c r="CY100" s="20">
        <v>0</v>
      </c>
      <c r="CZ100" s="20">
        <v>0</v>
      </c>
      <c r="DA100" s="20">
        <v>0</v>
      </c>
      <c r="DB100" s="20">
        <v>10700</v>
      </c>
      <c r="DC100" s="20">
        <v>39165.444627950266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/>
      <c r="DJ100" s="20">
        <v>6128</v>
      </c>
      <c r="DK100" s="22">
        <v>0</v>
      </c>
      <c r="DL100" s="20">
        <v>0</v>
      </c>
      <c r="DM100" s="20">
        <v>0</v>
      </c>
      <c r="DN100" s="20">
        <v>2605418.1769229998</v>
      </c>
      <c r="DO100" s="20">
        <f t="shared" si="52"/>
        <v>1566058.3814314678</v>
      </c>
      <c r="DP100" s="21">
        <v>122554</v>
      </c>
      <c r="DQ100" s="20">
        <f t="shared" si="53"/>
        <v>21480</v>
      </c>
      <c r="DR100" s="20">
        <f t="shared" si="54"/>
        <v>6128</v>
      </c>
      <c r="DS100" s="20">
        <f t="shared" si="44"/>
        <v>94946</v>
      </c>
      <c r="DT100" s="23">
        <f t="shared" si="45"/>
        <v>0.77472787505915763</v>
      </c>
      <c r="DU100" s="20">
        <f t="shared" si="55"/>
        <v>1659130.6742683935</v>
      </c>
      <c r="DV100" s="20">
        <f t="shared" si="56"/>
        <v>688100.98422230955</v>
      </c>
      <c r="DW100" s="20">
        <f t="shared" si="57"/>
        <v>40324.098432294595</v>
      </c>
      <c r="DX100" s="20">
        <f t="shared" si="58"/>
        <v>39386.420000000006</v>
      </c>
      <c r="DY100" s="20">
        <f t="shared" si="59"/>
        <v>0</v>
      </c>
      <c r="DZ100" s="20">
        <f t="shared" si="60"/>
        <v>0</v>
      </c>
      <c r="EA100" s="20">
        <f t="shared" si="61"/>
        <v>0</v>
      </c>
      <c r="EB100" s="20">
        <f t="shared" si="62"/>
        <v>55921.759999999995</v>
      </c>
      <c r="EC100" s="20">
        <f t="shared" si="46"/>
        <v>94946</v>
      </c>
      <c r="ED100" s="20">
        <f t="shared" si="47"/>
        <v>21480</v>
      </c>
      <c r="EE100" s="20">
        <f t="shared" si="47"/>
        <v>6128</v>
      </c>
      <c r="EF100" s="20">
        <f t="shared" si="48"/>
        <v>122554</v>
      </c>
      <c r="EG100" s="23">
        <f t="shared" si="49"/>
        <v>0.77472787505915763</v>
      </c>
      <c r="EH100" s="20">
        <f t="shared" si="50"/>
        <v>2605417.9369229972</v>
      </c>
    </row>
    <row r="101" spans="1:138" x14ac:dyDescent="0.25">
      <c r="A101" s="18">
        <v>321</v>
      </c>
      <c r="B101" t="s">
        <v>242</v>
      </c>
      <c r="C101" t="s">
        <v>135</v>
      </c>
      <c r="D101">
        <v>3</v>
      </c>
      <c r="E101">
        <v>512</v>
      </c>
      <c r="F101" s="19">
        <f t="shared" si="43"/>
        <v>8.203125E-2</v>
      </c>
      <c r="G101">
        <v>42</v>
      </c>
      <c r="H101" s="20">
        <v>191050.75104188372</v>
      </c>
      <c r="I101" s="20">
        <v>110891.27068881014</v>
      </c>
      <c r="J101" s="20">
        <v>198789.17398165143</v>
      </c>
      <c r="K101" s="20">
        <v>0</v>
      </c>
      <c r="L101" s="20">
        <v>0</v>
      </c>
      <c r="M101" s="20">
        <v>89505.059196611037</v>
      </c>
      <c r="N101" s="20">
        <v>59866.796146808359</v>
      </c>
      <c r="O101" s="20">
        <v>58280.552041789575</v>
      </c>
      <c r="P101" s="20">
        <v>0</v>
      </c>
      <c r="Q101" s="20">
        <v>0</v>
      </c>
      <c r="R101" s="20"/>
      <c r="S101" s="20">
        <v>77625.750694703253</v>
      </c>
      <c r="T101" s="20">
        <v>60676.224767295193</v>
      </c>
      <c r="U101" s="20">
        <v>149148.95212478214</v>
      </c>
      <c r="V101" s="20">
        <v>110891.27068881014</v>
      </c>
      <c r="W101" s="20">
        <v>110891.27068881014</v>
      </c>
      <c r="X101" s="20">
        <v>110891.27068881014</v>
      </c>
      <c r="Y101" s="20">
        <v>110891.27068881014</v>
      </c>
      <c r="Z101" s="20">
        <v>166336.9060332152</v>
      </c>
      <c r="AA101" s="20"/>
      <c r="AB101" s="20">
        <v>0</v>
      </c>
      <c r="AC101" s="20">
        <v>0</v>
      </c>
      <c r="AD101" s="20">
        <v>0</v>
      </c>
      <c r="AE101" s="20">
        <v>0</v>
      </c>
      <c r="AF101" s="20">
        <v>110891.27068881014</v>
      </c>
      <c r="AG101" s="20">
        <v>33411.157694564718</v>
      </c>
      <c r="AH101" s="20">
        <v>443565.08275524055</v>
      </c>
      <c r="AI101" s="20">
        <v>133644.63077825887</v>
      </c>
      <c r="AJ101" s="20">
        <v>443565.08275524055</v>
      </c>
      <c r="AK101" s="20">
        <v>443565.08275524055</v>
      </c>
      <c r="AL101" s="20">
        <v>443565.08275524055</v>
      </c>
      <c r="AM101" s="20">
        <v>443565.08275524055</v>
      </c>
      <c r="AN101" s="20">
        <v>332673.8120664304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/>
      <c r="AX101" s="20">
        <v>0</v>
      </c>
      <c r="AY101" s="20">
        <v>55445.635344405069</v>
      </c>
      <c r="AZ101" s="20">
        <v>110891.27068881014</v>
      </c>
      <c r="BA101" s="20">
        <v>332673.8120664304</v>
      </c>
      <c r="BB101" s="20">
        <v>0</v>
      </c>
      <c r="BC101" s="20">
        <v>0</v>
      </c>
      <c r="BD101" s="20">
        <v>0</v>
      </c>
      <c r="BE101" s="20">
        <v>554456.35344405065</v>
      </c>
      <c r="BF101" s="20">
        <v>0</v>
      </c>
      <c r="BG101" s="20">
        <v>110891.27068881014</v>
      </c>
      <c r="BH101" s="20">
        <v>0</v>
      </c>
      <c r="BI101" s="20">
        <v>0</v>
      </c>
      <c r="BJ101" s="20">
        <v>0</v>
      </c>
      <c r="BK101" s="20">
        <v>0</v>
      </c>
      <c r="BL101" s="20"/>
      <c r="BM101" s="20">
        <v>0</v>
      </c>
      <c r="BN101" s="20">
        <v>0</v>
      </c>
      <c r="BO101" s="20">
        <v>0</v>
      </c>
      <c r="BP101" s="20">
        <v>12350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/>
      <c r="CM101" s="20">
        <v>0</v>
      </c>
      <c r="CN101" s="20">
        <v>0</v>
      </c>
      <c r="CO101" s="20">
        <v>111843.51999999999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27118.851533742331</v>
      </c>
      <c r="CV101" s="20">
        <v>0</v>
      </c>
      <c r="CW101" s="20"/>
      <c r="CX101" s="20">
        <v>0</v>
      </c>
      <c r="CY101" s="20">
        <v>0</v>
      </c>
      <c r="CZ101" s="20">
        <v>0</v>
      </c>
      <c r="DA101" s="20">
        <v>0</v>
      </c>
      <c r="DB101" s="20">
        <v>51200</v>
      </c>
      <c r="DC101" s="20">
        <v>90136.512462023966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/>
      <c r="DJ101" s="20">
        <v>3499.9999022111297</v>
      </c>
      <c r="DK101" s="22">
        <v>0</v>
      </c>
      <c r="DL101" s="20">
        <v>0</v>
      </c>
      <c r="DM101" s="20">
        <v>0</v>
      </c>
      <c r="DN101" s="20">
        <v>5894690.0306075402</v>
      </c>
      <c r="DO101" s="20">
        <f t="shared" si="52"/>
        <v>4315187.2408860428</v>
      </c>
      <c r="DP101" s="21">
        <v>97119</v>
      </c>
      <c r="DQ101" s="20">
        <f t="shared" si="53"/>
        <v>0</v>
      </c>
      <c r="DR101" s="20">
        <f t="shared" si="54"/>
        <v>3499.9999022111297</v>
      </c>
      <c r="DS101" s="20">
        <f t="shared" si="44"/>
        <v>93619.00009778887</v>
      </c>
      <c r="DT101" s="23">
        <f t="shared" si="45"/>
        <v>0.96396173866894086</v>
      </c>
      <c r="DU101" s="20">
        <f t="shared" si="55"/>
        <v>4509019.1683750348</v>
      </c>
      <c r="DV101" s="20">
        <f t="shared" si="56"/>
        <v>499010.71809964557</v>
      </c>
      <c r="DW101" s="20">
        <f t="shared" si="57"/>
        <v>665347.6241328608</v>
      </c>
      <c r="DX101" s="20">
        <f t="shared" si="58"/>
        <v>12350</v>
      </c>
      <c r="DY101" s="20">
        <f t="shared" si="59"/>
        <v>0</v>
      </c>
      <c r="DZ101" s="20">
        <f t="shared" si="60"/>
        <v>0</v>
      </c>
      <c r="EA101" s="20">
        <f t="shared" si="61"/>
        <v>0</v>
      </c>
      <c r="EB101" s="20">
        <f t="shared" si="62"/>
        <v>111843.51999999999</v>
      </c>
      <c r="EC101" s="20">
        <f t="shared" si="46"/>
        <v>93619.00009778887</v>
      </c>
      <c r="ED101" s="20">
        <f t="shared" si="47"/>
        <v>0</v>
      </c>
      <c r="EE101" s="20">
        <f t="shared" si="47"/>
        <v>3499.9999022111297</v>
      </c>
      <c r="EF101" s="20">
        <f t="shared" si="48"/>
        <v>97119</v>
      </c>
      <c r="EG101" s="23">
        <f t="shared" si="49"/>
        <v>0.96396173866894086</v>
      </c>
      <c r="EH101" s="20">
        <f t="shared" si="50"/>
        <v>5894690.0306075402</v>
      </c>
    </row>
    <row r="102" spans="1:138" x14ac:dyDescent="0.25">
      <c r="A102" s="18">
        <v>428</v>
      </c>
      <c r="B102" t="s">
        <v>243</v>
      </c>
      <c r="C102" t="s">
        <v>152</v>
      </c>
      <c r="D102">
        <v>6</v>
      </c>
      <c r="E102">
        <v>513</v>
      </c>
      <c r="F102" s="19">
        <f t="shared" si="43"/>
        <v>0.31773879142300193</v>
      </c>
      <c r="G102">
        <v>163</v>
      </c>
      <c r="H102" s="20">
        <v>191050.75104188372</v>
      </c>
      <c r="I102" s="20">
        <v>110891.27068881014</v>
      </c>
      <c r="J102" s="20">
        <v>259955.07366831342</v>
      </c>
      <c r="K102" s="20">
        <v>144158.65189545319</v>
      </c>
      <c r="L102" s="20">
        <v>0</v>
      </c>
      <c r="M102" s="20">
        <v>89505.059196611037</v>
      </c>
      <c r="N102" s="20">
        <v>59866.796146808359</v>
      </c>
      <c r="O102" s="20">
        <v>58280.552041789575</v>
      </c>
      <c r="P102" s="20">
        <v>0</v>
      </c>
      <c r="Q102" s="20">
        <v>0</v>
      </c>
      <c r="R102" s="20"/>
      <c r="S102" s="20">
        <v>77625.750694703253</v>
      </c>
      <c r="T102" s="20">
        <v>60676.224767295193</v>
      </c>
      <c r="U102" s="20">
        <v>198865.26949970951</v>
      </c>
      <c r="V102" s="20">
        <v>110891.27068881014</v>
      </c>
      <c r="W102" s="20">
        <v>0</v>
      </c>
      <c r="X102" s="20">
        <v>0</v>
      </c>
      <c r="Y102" s="20">
        <v>0</v>
      </c>
      <c r="Z102" s="20">
        <v>0</v>
      </c>
      <c r="AA102" s="20"/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909308.419648243</v>
      </c>
      <c r="AP102" s="20">
        <v>853862.78430383804</v>
      </c>
      <c r="AQ102" s="20">
        <v>820595.40309719509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/>
      <c r="AX102" s="20">
        <v>0</v>
      </c>
      <c r="AY102" s="20">
        <v>110891.27068881014</v>
      </c>
      <c r="AZ102" s="20">
        <v>166336.9060332152</v>
      </c>
      <c r="BA102" s="20">
        <v>998021.43619929126</v>
      </c>
      <c r="BB102" s="20">
        <v>100233.47308369415</v>
      </c>
      <c r="BC102" s="20">
        <v>0</v>
      </c>
      <c r="BD102" s="20">
        <v>0</v>
      </c>
      <c r="BE102" s="20">
        <v>35283.586128257768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/>
      <c r="BM102" s="20">
        <v>0</v>
      </c>
      <c r="BN102" s="20">
        <v>74723.570000000007</v>
      </c>
      <c r="BO102" s="20">
        <v>1313.26</v>
      </c>
      <c r="BP102" s="20">
        <v>12175</v>
      </c>
      <c r="BQ102" s="20">
        <v>0</v>
      </c>
      <c r="BR102" s="20">
        <v>110891.27068881014</v>
      </c>
      <c r="BS102" s="20">
        <v>152914.74921665495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332673.8120664304</v>
      </c>
      <c r="CL102" s="20"/>
      <c r="CM102" s="20">
        <v>23000</v>
      </c>
      <c r="CN102" s="20">
        <v>5000</v>
      </c>
      <c r="CO102" s="20">
        <v>244045.91999999998</v>
      </c>
      <c r="CP102" s="20">
        <v>100000</v>
      </c>
      <c r="CQ102" s="20">
        <v>0</v>
      </c>
      <c r="CR102" s="20">
        <v>0</v>
      </c>
      <c r="CS102" s="20">
        <v>3260</v>
      </c>
      <c r="CT102" s="20">
        <v>0</v>
      </c>
      <c r="CU102" s="20">
        <v>39631.4</v>
      </c>
      <c r="CV102" s="20">
        <v>0</v>
      </c>
      <c r="CW102" s="20"/>
      <c r="CX102" s="20">
        <v>0</v>
      </c>
      <c r="CY102" s="20">
        <v>0</v>
      </c>
      <c r="CZ102" s="20">
        <v>0</v>
      </c>
      <c r="DA102" s="20">
        <v>0</v>
      </c>
      <c r="DB102" s="20">
        <v>51300</v>
      </c>
      <c r="DC102" s="20">
        <v>97449.754481902492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/>
      <c r="DJ102" s="20">
        <v>18000.000268220901</v>
      </c>
      <c r="DK102" s="22">
        <v>0</v>
      </c>
      <c r="DL102" s="20">
        <v>0</v>
      </c>
      <c r="DM102" s="20">
        <v>0</v>
      </c>
      <c r="DN102" s="20">
        <v>6622678.6862347508</v>
      </c>
      <c r="DO102" s="20">
        <f t="shared" si="52"/>
        <v>4257420.9989660885</v>
      </c>
      <c r="DP102" s="21">
        <v>376913</v>
      </c>
      <c r="DQ102" s="20">
        <f t="shared" si="53"/>
        <v>0</v>
      </c>
      <c r="DR102" s="20">
        <f t="shared" si="54"/>
        <v>174174.74948487585</v>
      </c>
      <c r="DS102" s="20">
        <f t="shared" si="44"/>
        <v>202738.25051512415</v>
      </c>
      <c r="DT102" s="23">
        <f t="shared" si="45"/>
        <v>0.53789137152373134</v>
      </c>
      <c r="DU102" s="20">
        <f t="shared" si="55"/>
        <v>4502741.2641014829</v>
      </c>
      <c r="DV102" s="20">
        <f t="shared" si="56"/>
        <v>1375483.0860050109</v>
      </c>
      <c r="DW102" s="20">
        <f t="shared" si="57"/>
        <v>35283.586128257768</v>
      </c>
      <c r="DX102" s="20">
        <f t="shared" si="58"/>
        <v>88211.83</v>
      </c>
      <c r="DY102" s="20">
        <f t="shared" si="59"/>
        <v>0</v>
      </c>
      <c r="DZ102" s="20">
        <f t="shared" si="60"/>
        <v>0</v>
      </c>
      <c r="EA102" s="20">
        <f t="shared" si="61"/>
        <v>0</v>
      </c>
      <c r="EB102" s="20">
        <f t="shared" si="62"/>
        <v>244045.91999999998</v>
      </c>
      <c r="EC102" s="20">
        <f t="shared" si="46"/>
        <v>202738.25051512415</v>
      </c>
      <c r="ED102" s="20">
        <f t="shared" si="47"/>
        <v>0</v>
      </c>
      <c r="EE102" s="20">
        <f t="shared" si="47"/>
        <v>174174.74948487585</v>
      </c>
      <c r="EF102" s="20">
        <f t="shared" si="48"/>
        <v>376913</v>
      </c>
      <c r="EG102" s="23">
        <f t="shared" si="49"/>
        <v>0.53789137152373134</v>
      </c>
      <c r="EH102" s="20">
        <f t="shared" si="50"/>
        <v>6622678.6862347517</v>
      </c>
    </row>
    <row r="103" spans="1:138" x14ac:dyDescent="0.25">
      <c r="A103" s="18">
        <v>324</v>
      </c>
      <c r="B103" t="s">
        <v>244</v>
      </c>
      <c r="C103" t="s">
        <v>150</v>
      </c>
      <c r="D103">
        <v>4</v>
      </c>
      <c r="E103">
        <v>522</v>
      </c>
      <c r="F103" s="19">
        <f t="shared" si="43"/>
        <v>0.42145593869731801</v>
      </c>
      <c r="G103">
        <v>220</v>
      </c>
      <c r="H103" s="20">
        <v>191050.75104188372</v>
      </c>
      <c r="I103" s="20">
        <v>110891.27068881014</v>
      </c>
      <c r="J103" s="20">
        <v>214080.64890331691</v>
      </c>
      <c r="K103" s="20">
        <v>110891.27068881014</v>
      </c>
      <c r="L103" s="20">
        <v>0</v>
      </c>
      <c r="M103" s="20">
        <v>89505.059196611037</v>
      </c>
      <c r="N103" s="20">
        <v>59866.796146808359</v>
      </c>
      <c r="O103" s="20">
        <v>58280.552041789575</v>
      </c>
      <c r="P103" s="20">
        <v>0</v>
      </c>
      <c r="Q103" s="20">
        <v>0</v>
      </c>
      <c r="R103" s="20"/>
      <c r="S103" s="20">
        <v>77625.750694703253</v>
      </c>
      <c r="T103" s="20">
        <v>60676.224767295193</v>
      </c>
      <c r="U103" s="20">
        <v>198865.26949970951</v>
      </c>
      <c r="V103" s="20">
        <v>110891.27068881014</v>
      </c>
      <c r="W103" s="20">
        <v>110891.27068881014</v>
      </c>
      <c r="X103" s="20">
        <v>110891.27068881014</v>
      </c>
      <c r="Y103" s="20">
        <v>110891.27068881014</v>
      </c>
      <c r="Z103" s="20">
        <v>166336.9060332152</v>
      </c>
      <c r="AA103" s="20"/>
      <c r="AB103" s="20">
        <v>221782.54137762028</v>
      </c>
      <c r="AC103" s="20">
        <v>66822.315389129435</v>
      </c>
      <c r="AD103" s="20">
        <v>221782.54137762028</v>
      </c>
      <c r="AE103" s="20">
        <v>66822.315389129435</v>
      </c>
      <c r="AF103" s="20">
        <v>221782.54137762028</v>
      </c>
      <c r="AG103" s="20">
        <v>66822.315389129435</v>
      </c>
      <c r="AH103" s="20">
        <v>332673.8120664304</v>
      </c>
      <c r="AI103" s="20">
        <v>100233.47308369415</v>
      </c>
      <c r="AJ103" s="20">
        <v>332673.8120664304</v>
      </c>
      <c r="AK103" s="20">
        <v>332673.8120664304</v>
      </c>
      <c r="AL103" s="20">
        <v>221782.54137762028</v>
      </c>
      <c r="AM103" s="20">
        <v>221782.54137762028</v>
      </c>
      <c r="AN103" s="20">
        <v>332673.8120664304</v>
      </c>
      <c r="AO103" s="20">
        <v>0</v>
      </c>
      <c r="AP103" s="20">
        <v>0</v>
      </c>
      <c r="AQ103" s="20">
        <v>321584.6849975494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/>
      <c r="AX103" s="20">
        <v>0</v>
      </c>
      <c r="AY103" s="20">
        <v>110891.27068881014</v>
      </c>
      <c r="AZ103" s="20">
        <v>110891.27068881014</v>
      </c>
      <c r="BA103" s="20">
        <v>887130.16551048111</v>
      </c>
      <c r="BB103" s="20">
        <v>267289.26155651774</v>
      </c>
      <c r="BC103" s="20">
        <v>0</v>
      </c>
      <c r="BD103" s="20">
        <v>114084.97559574516</v>
      </c>
      <c r="BE103" s="20">
        <v>1219803.9775769114</v>
      </c>
      <c r="BF103" s="20">
        <v>0</v>
      </c>
      <c r="BG103" s="20">
        <v>221782.54137762028</v>
      </c>
      <c r="BH103" s="21">
        <f>78760-35800</f>
        <v>42960</v>
      </c>
      <c r="BI103" s="21">
        <f>78760-35800</f>
        <v>42960</v>
      </c>
      <c r="BJ103" s="20">
        <v>0</v>
      </c>
      <c r="BK103" s="20">
        <v>0</v>
      </c>
      <c r="BL103" s="20"/>
      <c r="BM103" s="20">
        <v>71600</v>
      </c>
      <c r="BN103" s="20">
        <v>226725.02</v>
      </c>
      <c r="BO103" s="20">
        <v>3750.91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221782.54137762028</v>
      </c>
      <c r="CL103" s="20"/>
      <c r="CM103" s="20">
        <v>23000</v>
      </c>
      <c r="CN103" s="20">
        <v>5000</v>
      </c>
      <c r="CO103" s="20">
        <v>111843.51999999999</v>
      </c>
      <c r="CP103" s="20">
        <v>100000</v>
      </c>
      <c r="CQ103" s="20">
        <v>0</v>
      </c>
      <c r="CR103" s="20">
        <v>0</v>
      </c>
      <c r="CS103" s="20">
        <v>4400</v>
      </c>
      <c r="CT103" s="20">
        <v>0</v>
      </c>
      <c r="CU103" s="20">
        <v>32249.8</v>
      </c>
      <c r="CV103" s="20">
        <v>0</v>
      </c>
      <c r="CW103" s="20"/>
      <c r="CX103" s="20">
        <v>0</v>
      </c>
      <c r="CY103" s="20">
        <v>0</v>
      </c>
      <c r="CZ103" s="20">
        <v>0</v>
      </c>
      <c r="DA103" s="20">
        <v>0</v>
      </c>
      <c r="DB103" s="20">
        <v>52200</v>
      </c>
      <c r="DC103" s="20">
        <v>130364.67280435395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/>
      <c r="DJ103" s="20">
        <v>38675.001346319914</v>
      </c>
      <c r="DK103" s="22">
        <v>0</v>
      </c>
      <c r="DL103" s="20">
        <v>0</v>
      </c>
      <c r="DM103" s="20">
        <v>0</v>
      </c>
      <c r="DN103" s="20">
        <v>8882913.5703838393</v>
      </c>
      <c r="DO103" s="20">
        <f t="shared" si="52"/>
        <v>5070958.4110809127</v>
      </c>
      <c r="DP103" s="21">
        <v>508716</v>
      </c>
      <c r="DQ103" s="20">
        <f t="shared" si="53"/>
        <v>85920</v>
      </c>
      <c r="DR103" s="20">
        <f t="shared" si="54"/>
        <v>43075.001346319914</v>
      </c>
      <c r="DS103" s="20">
        <f t="shared" si="44"/>
        <v>379720.99865368009</v>
      </c>
      <c r="DT103" s="23">
        <f t="shared" si="45"/>
        <v>0.74643022561444905</v>
      </c>
      <c r="DU103" s="20">
        <f t="shared" si="55"/>
        <v>5028404.6573889405</v>
      </c>
      <c r="DV103" s="20">
        <f t="shared" si="56"/>
        <v>1490286.9440403644</v>
      </c>
      <c r="DW103" s="20">
        <f t="shared" si="57"/>
        <v>1441586.5189545318</v>
      </c>
      <c r="DX103" s="20">
        <f t="shared" si="58"/>
        <v>302075.93</v>
      </c>
      <c r="DY103" s="20">
        <f t="shared" si="59"/>
        <v>0</v>
      </c>
      <c r="DZ103" s="20">
        <f t="shared" si="60"/>
        <v>0</v>
      </c>
      <c r="EA103" s="20">
        <f t="shared" si="61"/>
        <v>0</v>
      </c>
      <c r="EB103" s="20">
        <f t="shared" si="62"/>
        <v>111843.51999999999</v>
      </c>
      <c r="EC103" s="20">
        <f t="shared" si="46"/>
        <v>379720.99865368009</v>
      </c>
      <c r="ED103" s="20">
        <f t="shared" si="47"/>
        <v>85920</v>
      </c>
      <c r="EE103" s="20">
        <f t="shared" si="47"/>
        <v>43075.001346319914</v>
      </c>
      <c r="EF103" s="20">
        <f t="shared" si="48"/>
        <v>508716</v>
      </c>
      <c r="EG103" s="23">
        <f t="shared" si="49"/>
        <v>0.74643022561444905</v>
      </c>
      <c r="EH103" s="20">
        <f t="shared" si="50"/>
        <v>8882913.5703838356</v>
      </c>
    </row>
    <row r="104" spans="1:138" x14ac:dyDescent="0.25">
      <c r="A104" s="18">
        <v>325</v>
      </c>
      <c r="B104" t="s">
        <v>245</v>
      </c>
      <c r="C104" t="s">
        <v>135</v>
      </c>
      <c r="D104">
        <v>7</v>
      </c>
      <c r="E104">
        <v>328</v>
      </c>
      <c r="F104" s="19">
        <f t="shared" si="43"/>
        <v>0.82621951219512191</v>
      </c>
      <c r="G104">
        <v>271</v>
      </c>
      <c r="H104" s="20">
        <v>191050.75104188372</v>
      </c>
      <c r="I104" s="20">
        <v>110891.27068881014</v>
      </c>
      <c r="J104" s="20">
        <v>122331.79937332397</v>
      </c>
      <c r="K104" s="20">
        <v>0</v>
      </c>
      <c r="L104" s="20">
        <v>0</v>
      </c>
      <c r="M104" s="20">
        <v>89505.059196611037</v>
      </c>
      <c r="N104" s="20">
        <v>59866.796146808359</v>
      </c>
      <c r="O104" s="20">
        <v>0</v>
      </c>
      <c r="P104" s="20">
        <v>0</v>
      </c>
      <c r="Q104" s="20">
        <v>0</v>
      </c>
      <c r="R104" s="20"/>
      <c r="S104" s="20">
        <v>77625.750694703253</v>
      </c>
      <c r="T104" s="20">
        <v>60676.224767295193</v>
      </c>
      <c r="U104" s="20">
        <v>99432.634749854755</v>
      </c>
      <c r="V104" s="20">
        <v>110891.27068881014</v>
      </c>
      <c r="W104" s="20">
        <v>110891.27068881014</v>
      </c>
      <c r="X104" s="20">
        <v>110891.27068881014</v>
      </c>
      <c r="Y104" s="20">
        <v>110891.27068881014</v>
      </c>
      <c r="Z104" s="20">
        <v>0</v>
      </c>
      <c r="AA104" s="20"/>
      <c r="AB104" s="20">
        <v>221782.54137762028</v>
      </c>
      <c r="AC104" s="20">
        <v>66822.315389129435</v>
      </c>
      <c r="AD104" s="20">
        <v>221782.54137762028</v>
      </c>
      <c r="AE104" s="20">
        <v>66822.315389129435</v>
      </c>
      <c r="AF104" s="20">
        <v>110891.27068881014</v>
      </c>
      <c r="AG104" s="20">
        <v>33411.157694564718</v>
      </c>
      <c r="AH104" s="20">
        <v>221782.54137762028</v>
      </c>
      <c r="AI104" s="20">
        <v>66822.315389129435</v>
      </c>
      <c r="AJ104" s="20">
        <v>221782.54137762028</v>
      </c>
      <c r="AK104" s="20">
        <v>221782.54137762028</v>
      </c>
      <c r="AL104" s="20">
        <v>221782.54137762028</v>
      </c>
      <c r="AM104" s="20">
        <v>221782.54137762028</v>
      </c>
      <c r="AN104" s="20">
        <v>221782.54137762028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/>
      <c r="AX104" s="20">
        <v>0</v>
      </c>
      <c r="AY104" s="20">
        <v>55445.635344405069</v>
      </c>
      <c r="AZ104" s="20">
        <v>110891.27068881014</v>
      </c>
      <c r="BA104" s="20">
        <v>998021.43619929126</v>
      </c>
      <c r="BB104" s="20">
        <v>200466.94616738829</v>
      </c>
      <c r="BC104" s="20">
        <v>0</v>
      </c>
      <c r="BD104" s="20">
        <v>0</v>
      </c>
      <c r="BE104" s="20">
        <v>30243.073824220945</v>
      </c>
      <c r="BF104" s="20">
        <v>0</v>
      </c>
      <c r="BG104" s="20">
        <v>0</v>
      </c>
      <c r="BH104" s="21">
        <f>35800-14320</f>
        <v>21480</v>
      </c>
      <c r="BI104" s="21">
        <f>35800-14320</f>
        <v>21480</v>
      </c>
      <c r="BJ104" s="20"/>
      <c r="BK104" s="20">
        <v>0</v>
      </c>
      <c r="BL104" s="20"/>
      <c r="BM104" s="20">
        <v>39380</v>
      </c>
      <c r="BN104" s="20">
        <v>138933</v>
      </c>
      <c r="BO104" s="20">
        <v>2298.4899999999998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110891.27068881014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/>
      <c r="CM104" s="20">
        <v>0</v>
      </c>
      <c r="CN104" s="20">
        <v>0</v>
      </c>
      <c r="CO104" s="20">
        <v>55921.759999999995</v>
      </c>
      <c r="CP104" s="20">
        <v>0</v>
      </c>
      <c r="CQ104" s="20">
        <v>0</v>
      </c>
      <c r="CR104" s="20">
        <v>0</v>
      </c>
      <c r="CS104" s="20">
        <v>10840</v>
      </c>
      <c r="CT104" s="20">
        <v>0</v>
      </c>
      <c r="CU104" s="20">
        <v>19098.886075949369</v>
      </c>
      <c r="CV104" s="20">
        <v>0</v>
      </c>
      <c r="CW104" s="20"/>
      <c r="CX104" s="20">
        <v>0</v>
      </c>
      <c r="CY104" s="20">
        <v>0</v>
      </c>
      <c r="CZ104" s="20">
        <v>0</v>
      </c>
      <c r="DA104" s="20">
        <v>0</v>
      </c>
      <c r="DB104" s="20">
        <v>32800</v>
      </c>
      <c r="DC104" s="20">
        <v>76781.599339086999</v>
      </c>
      <c r="DD104" s="20">
        <v>0</v>
      </c>
      <c r="DE104" s="20">
        <v>0</v>
      </c>
      <c r="DF104" s="20">
        <v>13859</v>
      </c>
      <c r="DG104" s="20">
        <v>0</v>
      </c>
      <c r="DH104" s="20">
        <v>0</v>
      </c>
      <c r="DI104" s="20"/>
      <c r="DJ104" s="20">
        <v>28275.000048428774</v>
      </c>
      <c r="DK104" s="22">
        <v>0</v>
      </c>
      <c r="DL104" s="20">
        <v>0</v>
      </c>
      <c r="DM104" s="20">
        <v>200000</v>
      </c>
      <c r="DN104" s="20">
        <v>5541082.4433626505</v>
      </c>
      <c r="DO104" s="20">
        <f t="shared" si="52"/>
        <v>3264920.9501894391</v>
      </c>
      <c r="DP104" s="21">
        <v>626646</v>
      </c>
      <c r="DQ104" s="20">
        <f t="shared" si="53"/>
        <v>42960</v>
      </c>
      <c r="DR104" s="20">
        <f t="shared" si="54"/>
        <v>150006.27073723893</v>
      </c>
      <c r="DS104" s="20">
        <f t="shared" si="44"/>
        <v>433679.72926276107</v>
      </c>
      <c r="DT104" s="23">
        <f t="shared" si="45"/>
        <v>0.69206494458236556</v>
      </c>
      <c r="DU104" s="20">
        <f t="shared" si="55"/>
        <v>3282834.8311385317</v>
      </c>
      <c r="DV104" s="20">
        <f t="shared" si="56"/>
        <v>1364825.2883998947</v>
      </c>
      <c r="DW104" s="20">
        <f t="shared" si="57"/>
        <v>30243.073824220945</v>
      </c>
      <c r="DX104" s="20">
        <f t="shared" si="58"/>
        <v>180611.49</v>
      </c>
      <c r="DY104" s="20">
        <f t="shared" si="59"/>
        <v>0</v>
      </c>
      <c r="DZ104" s="20">
        <f t="shared" si="60"/>
        <v>0</v>
      </c>
      <c r="EA104" s="20">
        <f t="shared" si="61"/>
        <v>0</v>
      </c>
      <c r="EB104" s="20">
        <f t="shared" si="62"/>
        <v>55921.759999999995</v>
      </c>
      <c r="EC104" s="20">
        <f t="shared" si="46"/>
        <v>433679.72926276107</v>
      </c>
      <c r="ED104" s="20">
        <f t="shared" si="47"/>
        <v>42960</v>
      </c>
      <c r="EE104" s="20">
        <f t="shared" si="47"/>
        <v>150006.27073723893</v>
      </c>
      <c r="EF104" s="20">
        <f t="shared" si="48"/>
        <v>626646</v>
      </c>
      <c r="EG104" s="23">
        <f t="shared" si="49"/>
        <v>0.69206494458236556</v>
      </c>
      <c r="EH104" s="20">
        <f t="shared" si="50"/>
        <v>5541082.4433626477</v>
      </c>
    </row>
    <row r="105" spans="1:138" x14ac:dyDescent="0.25">
      <c r="A105" s="18">
        <v>326</v>
      </c>
      <c r="B105" t="s">
        <v>246</v>
      </c>
      <c r="C105" t="s">
        <v>135</v>
      </c>
      <c r="D105">
        <v>2</v>
      </c>
      <c r="E105">
        <v>331</v>
      </c>
      <c r="F105" s="19">
        <f t="shared" si="43"/>
        <v>0.44108761329305135</v>
      </c>
      <c r="G105">
        <v>146</v>
      </c>
      <c r="H105" s="20">
        <v>191050.75104188372</v>
      </c>
      <c r="I105" s="20">
        <v>110891.27068881014</v>
      </c>
      <c r="J105" s="20">
        <v>122331.79937332397</v>
      </c>
      <c r="K105" s="20">
        <v>0</v>
      </c>
      <c r="L105" s="20">
        <v>0</v>
      </c>
      <c r="M105" s="20">
        <v>89505.059196611037</v>
      </c>
      <c r="N105" s="20">
        <v>59866.796146808359</v>
      </c>
      <c r="O105" s="20">
        <v>0</v>
      </c>
      <c r="P105" s="20">
        <v>0</v>
      </c>
      <c r="Q105" s="20">
        <v>0</v>
      </c>
      <c r="R105" s="20"/>
      <c r="S105" s="20">
        <v>77625.750694703253</v>
      </c>
      <c r="T105" s="20">
        <v>60676.224767295193</v>
      </c>
      <c r="U105" s="20">
        <v>99432.634749854755</v>
      </c>
      <c r="V105" s="20">
        <v>110891.27068881014</v>
      </c>
      <c r="W105" s="20">
        <v>110891.27068881014</v>
      </c>
      <c r="X105" s="20">
        <v>110891.27068881014</v>
      </c>
      <c r="Y105" s="20">
        <v>110891.27068881014</v>
      </c>
      <c r="Z105" s="20">
        <v>0</v>
      </c>
      <c r="AA105" s="20"/>
      <c r="AB105" s="20">
        <v>0</v>
      </c>
      <c r="AC105" s="20">
        <v>0</v>
      </c>
      <c r="AD105" s="20">
        <v>554456.35344405065</v>
      </c>
      <c r="AE105" s="20">
        <v>167055.78847282359</v>
      </c>
      <c r="AF105" s="20">
        <v>0</v>
      </c>
      <c r="AG105" s="20">
        <v>0</v>
      </c>
      <c r="AH105" s="20">
        <v>221782.54137762028</v>
      </c>
      <c r="AI105" s="20">
        <v>66822.315389129435</v>
      </c>
      <c r="AJ105" s="20">
        <v>221782.54137762028</v>
      </c>
      <c r="AK105" s="20">
        <v>221782.54137762028</v>
      </c>
      <c r="AL105" s="20">
        <v>221782.54137762028</v>
      </c>
      <c r="AM105" s="20">
        <v>221782.54137762028</v>
      </c>
      <c r="AN105" s="20">
        <v>221782.54137762028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/>
      <c r="AX105" s="20">
        <v>0</v>
      </c>
      <c r="AY105" s="20">
        <v>110891.27068881014</v>
      </c>
      <c r="AZ105" s="20">
        <v>166336.9060332152</v>
      </c>
      <c r="BA105" s="20">
        <v>332673.8120664304</v>
      </c>
      <c r="BB105" s="20">
        <v>0</v>
      </c>
      <c r="BC105" s="20">
        <v>0</v>
      </c>
      <c r="BD105" s="20">
        <v>0</v>
      </c>
      <c r="BE105" s="20">
        <v>887130.16551048111</v>
      </c>
      <c r="BF105" s="20">
        <v>0</v>
      </c>
      <c r="BG105" s="20">
        <v>110891.27068881014</v>
      </c>
      <c r="BH105" s="21">
        <f>57280-28640</f>
        <v>28640</v>
      </c>
      <c r="BI105" s="21">
        <f>57280-35800</f>
        <v>21480</v>
      </c>
      <c r="BJ105" s="20">
        <v>0</v>
      </c>
      <c r="BK105" s="20">
        <v>0</v>
      </c>
      <c r="BL105" s="20"/>
      <c r="BM105" s="20">
        <v>64440</v>
      </c>
      <c r="BN105" s="20">
        <v>136375.95000000001</v>
      </c>
      <c r="BO105" s="20">
        <v>2256.19</v>
      </c>
      <c r="BP105" s="20">
        <v>0</v>
      </c>
      <c r="BQ105" s="20">
        <v>114084.97559574516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/>
      <c r="CM105" s="20">
        <v>0</v>
      </c>
      <c r="CN105" s="20">
        <v>0</v>
      </c>
      <c r="CO105" s="20">
        <v>55921.759999999995</v>
      </c>
      <c r="CP105" s="20">
        <v>0</v>
      </c>
      <c r="CQ105" s="20">
        <v>0</v>
      </c>
      <c r="CR105" s="20">
        <v>0</v>
      </c>
      <c r="CS105" s="20">
        <v>2920</v>
      </c>
      <c r="CT105" s="20">
        <v>50400</v>
      </c>
      <c r="CU105" s="20">
        <v>18090.882352941175</v>
      </c>
      <c r="CV105" s="20">
        <v>0</v>
      </c>
      <c r="CW105" s="20"/>
      <c r="CX105" s="20">
        <v>0</v>
      </c>
      <c r="CY105" s="20">
        <v>0</v>
      </c>
      <c r="CZ105" s="20">
        <v>0</v>
      </c>
      <c r="DA105" s="20">
        <v>0</v>
      </c>
      <c r="DB105" s="20">
        <v>33100</v>
      </c>
      <c r="DC105" s="20">
        <v>82856.773956672958</v>
      </c>
      <c r="DD105" s="20">
        <v>0</v>
      </c>
      <c r="DE105" s="20">
        <v>0</v>
      </c>
      <c r="DF105" s="20">
        <v>0</v>
      </c>
      <c r="DG105" s="20">
        <v>20854</v>
      </c>
      <c r="DH105" s="20">
        <v>0</v>
      </c>
      <c r="DI105" s="20"/>
      <c r="DJ105" s="20">
        <v>10574.999872595072</v>
      </c>
      <c r="DK105" s="22">
        <v>0</v>
      </c>
      <c r="DL105" s="20">
        <v>0</v>
      </c>
      <c r="DM105" s="20">
        <v>0</v>
      </c>
      <c r="DN105" s="20">
        <v>5623894.0317519587</v>
      </c>
      <c r="DO105" s="20">
        <f t="shared" si="52"/>
        <v>3270288.1210840172</v>
      </c>
      <c r="DP105" s="21">
        <v>337603</v>
      </c>
      <c r="DQ105" s="20">
        <f t="shared" si="53"/>
        <v>50120</v>
      </c>
      <c r="DR105" s="20">
        <f t="shared" si="54"/>
        <v>63894.999872595072</v>
      </c>
      <c r="DS105" s="20">
        <f t="shared" si="44"/>
        <v>223588.00012740493</v>
      </c>
      <c r="DT105" s="23">
        <f t="shared" si="45"/>
        <v>0.66228084503812146</v>
      </c>
      <c r="DU105" s="20">
        <f t="shared" si="55"/>
        <v>3419373.7067642105</v>
      </c>
      <c r="DV105" s="20">
        <f t="shared" si="56"/>
        <v>609901.98878845572</v>
      </c>
      <c r="DW105" s="20">
        <f t="shared" si="57"/>
        <v>998021.43619929126</v>
      </c>
      <c r="DX105" s="20">
        <f t="shared" si="58"/>
        <v>203072.14</v>
      </c>
      <c r="DY105" s="20">
        <f t="shared" si="59"/>
        <v>0</v>
      </c>
      <c r="DZ105" s="20">
        <f t="shared" si="60"/>
        <v>0</v>
      </c>
      <c r="EA105" s="20">
        <f t="shared" si="61"/>
        <v>0</v>
      </c>
      <c r="EB105" s="20">
        <f t="shared" si="62"/>
        <v>55921.759999999995</v>
      </c>
      <c r="EC105" s="20">
        <f t="shared" si="46"/>
        <v>223588.00012740493</v>
      </c>
      <c r="ED105" s="20">
        <f t="shared" si="47"/>
        <v>50120</v>
      </c>
      <c r="EE105" s="20">
        <f t="shared" si="47"/>
        <v>63894.999872595072</v>
      </c>
      <c r="EF105" s="20">
        <f t="shared" si="48"/>
        <v>337603</v>
      </c>
      <c r="EG105" s="23">
        <f t="shared" si="49"/>
        <v>0.66228084503812146</v>
      </c>
      <c r="EH105" s="20">
        <f t="shared" si="50"/>
        <v>5623894.0317519568</v>
      </c>
    </row>
    <row r="106" spans="1:138" x14ac:dyDescent="0.25">
      <c r="A106" s="18">
        <v>327</v>
      </c>
      <c r="B106" t="s">
        <v>247</v>
      </c>
      <c r="C106" t="s">
        <v>135</v>
      </c>
      <c r="D106">
        <v>4</v>
      </c>
      <c r="E106">
        <v>500</v>
      </c>
      <c r="F106" s="19">
        <f t="shared" si="43"/>
        <v>0.71399999999999997</v>
      </c>
      <c r="G106">
        <v>357</v>
      </c>
      <c r="H106" s="20">
        <v>191050.75104188372</v>
      </c>
      <c r="I106" s="20">
        <v>110891.27068881014</v>
      </c>
      <c r="J106" s="20">
        <v>198789.17398165143</v>
      </c>
      <c r="K106" s="20">
        <v>0</v>
      </c>
      <c r="L106" s="20">
        <v>0</v>
      </c>
      <c r="M106" s="20">
        <v>89505.059196611037</v>
      </c>
      <c r="N106" s="20">
        <v>59866.796146808359</v>
      </c>
      <c r="O106" s="20">
        <v>58280.552041789575</v>
      </c>
      <c r="P106" s="20">
        <v>0</v>
      </c>
      <c r="Q106" s="20">
        <v>0</v>
      </c>
      <c r="R106" s="20"/>
      <c r="S106" s="20">
        <v>77625.750694703253</v>
      </c>
      <c r="T106" s="20">
        <v>60676.224767295193</v>
      </c>
      <c r="U106" s="20">
        <v>99432.634749854755</v>
      </c>
      <c r="V106" s="20">
        <v>110891.27068881014</v>
      </c>
      <c r="W106" s="20">
        <v>110891.27068881014</v>
      </c>
      <c r="X106" s="20">
        <v>110891.27068881014</v>
      </c>
      <c r="Y106" s="20">
        <v>110891.27068881014</v>
      </c>
      <c r="Z106" s="20">
        <v>166336.9060332152</v>
      </c>
      <c r="AA106" s="20"/>
      <c r="AB106" s="20">
        <v>332673.8120664304</v>
      </c>
      <c r="AC106" s="20">
        <v>100233.47308369415</v>
      </c>
      <c r="AD106" s="20">
        <v>110891.27068881014</v>
      </c>
      <c r="AE106" s="20">
        <v>33411.157694564718</v>
      </c>
      <c r="AF106" s="20">
        <v>332673.8120664304</v>
      </c>
      <c r="AG106" s="20">
        <v>100233.47308369415</v>
      </c>
      <c r="AH106" s="20">
        <v>443565.08275524055</v>
      </c>
      <c r="AI106" s="20">
        <v>133644.63077825887</v>
      </c>
      <c r="AJ106" s="20">
        <v>332673.8120664304</v>
      </c>
      <c r="AK106" s="20">
        <v>332673.8120664304</v>
      </c>
      <c r="AL106" s="20">
        <v>332673.8120664304</v>
      </c>
      <c r="AM106" s="20">
        <v>332673.8120664304</v>
      </c>
      <c r="AN106" s="20">
        <v>332673.8120664304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/>
      <c r="AX106" s="20">
        <v>0</v>
      </c>
      <c r="AY106" s="20">
        <v>110891.27068881014</v>
      </c>
      <c r="AZ106" s="20">
        <v>443565.08275524055</v>
      </c>
      <c r="BA106" s="20">
        <v>665347.6241328608</v>
      </c>
      <c r="BB106" s="20">
        <v>33411.157694564718</v>
      </c>
      <c r="BC106" s="20">
        <v>48327.936512970991</v>
      </c>
      <c r="BD106" s="20">
        <v>0</v>
      </c>
      <c r="BE106" s="20">
        <v>1663369.0603321521</v>
      </c>
      <c r="BF106" s="20">
        <v>0</v>
      </c>
      <c r="BG106" s="20">
        <v>332673.8120664304</v>
      </c>
      <c r="BH106" s="21">
        <f>57280-21480</f>
        <v>35800</v>
      </c>
      <c r="BI106" s="21">
        <f>57280-35800</f>
        <v>21480</v>
      </c>
      <c r="BJ106" s="20"/>
      <c r="BK106" s="20">
        <v>0</v>
      </c>
      <c r="BL106" s="20"/>
      <c r="BM106" s="20">
        <v>68020</v>
      </c>
      <c r="BN106" s="20">
        <v>240788.79</v>
      </c>
      <c r="BO106" s="20">
        <v>3983.58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>
        <v>0</v>
      </c>
      <c r="CK106" s="20">
        <v>0</v>
      </c>
      <c r="CL106" s="20"/>
      <c r="CM106" s="20">
        <v>0</v>
      </c>
      <c r="CN106" s="20">
        <v>0</v>
      </c>
      <c r="CO106" s="20">
        <v>111843.51999999999</v>
      </c>
      <c r="CP106" s="20">
        <v>0</v>
      </c>
      <c r="CQ106" s="20">
        <v>0</v>
      </c>
      <c r="CR106" s="20">
        <v>0</v>
      </c>
      <c r="CS106" s="20">
        <v>7140</v>
      </c>
      <c r="CT106" s="20">
        <v>478080</v>
      </c>
      <c r="CU106" s="20">
        <v>25451.16129032258</v>
      </c>
      <c r="CV106" s="20">
        <v>0</v>
      </c>
      <c r="CW106" s="20"/>
      <c r="CX106" s="20">
        <v>0</v>
      </c>
      <c r="CY106" s="20">
        <v>0</v>
      </c>
      <c r="CZ106" s="20">
        <v>0</v>
      </c>
      <c r="DA106" s="20">
        <v>0</v>
      </c>
      <c r="DB106" s="20">
        <v>50000</v>
      </c>
      <c r="DC106" s="20">
        <v>138176.3488931657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/>
      <c r="DJ106" s="20">
        <v>26675.000512227416</v>
      </c>
      <c r="DK106" s="22">
        <v>0</v>
      </c>
      <c r="DL106" s="20">
        <v>336204.08041750058</v>
      </c>
      <c r="DM106" s="20">
        <v>100000</v>
      </c>
      <c r="DN106" s="20">
        <v>9747944.3999433797</v>
      </c>
      <c r="DO106" s="20">
        <f t="shared" si="52"/>
        <v>4782608.8746187724</v>
      </c>
      <c r="DP106" s="21">
        <v>825508</v>
      </c>
      <c r="DQ106" s="20">
        <f t="shared" si="53"/>
        <v>57280</v>
      </c>
      <c r="DR106" s="20">
        <f t="shared" si="54"/>
        <v>511895.00051222742</v>
      </c>
      <c r="DS106" s="20">
        <f t="shared" si="44"/>
        <v>256332.99948777258</v>
      </c>
      <c r="DT106" s="23">
        <f t="shared" si="45"/>
        <v>0.31051546379656236</v>
      </c>
      <c r="DU106" s="20">
        <f t="shared" si="55"/>
        <v>4864010.4853428528</v>
      </c>
      <c r="DV106" s="20">
        <f t="shared" si="56"/>
        <v>1301543.0717844472</v>
      </c>
      <c r="DW106" s="20">
        <f t="shared" si="57"/>
        <v>1996042.8723985825</v>
      </c>
      <c r="DX106" s="20">
        <f t="shared" si="58"/>
        <v>312792.37000000005</v>
      </c>
      <c r="DY106" s="20">
        <f t="shared" si="59"/>
        <v>0</v>
      </c>
      <c r="DZ106" s="20">
        <f t="shared" si="60"/>
        <v>0</v>
      </c>
      <c r="EA106" s="20">
        <f t="shared" si="61"/>
        <v>336204.08041750058</v>
      </c>
      <c r="EB106" s="20">
        <f t="shared" si="62"/>
        <v>111843.51999999999</v>
      </c>
      <c r="EC106" s="20">
        <f t="shared" si="46"/>
        <v>256332.99948777258</v>
      </c>
      <c r="ED106" s="20">
        <f t="shared" si="47"/>
        <v>57280</v>
      </c>
      <c r="EE106" s="20">
        <f t="shared" si="47"/>
        <v>511895.00051222742</v>
      </c>
      <c r="EF106" s="20">
        <f t="shared" si="48"/>
        <v>825508</v>
      </c>
      <c r="EG106" s="23">
        <f t="shared" si="49"/>
        <v>0.31051546379656236</v>
      </c>
      <c r="EH106" s="20">
        <f t="shared" si="50"/>
        <v>9747944.3999433815</v>
      </c>
    </row>
    <row r="107" spans="1:138" x14ac:dyDescent="0.25">
      <c r="A107" s="18">
        <v>328</v>
      </c>
      <c r="B107" t="s">
        <v>248</v>
      </c>
      <c r="C107" t="s">
        <v>135</v>
      </c>
      <c r="D107">
        <v>1</v>
      </c>
      <c r="E107">
        <v>593</v>
      </c>
      <c r="F107" s="19">
        <f t="shared" si="43"/>
        <v>0.55649241146711637</v>
      </c>
      <c r="G107">
        <v>330</v>
      </c>
      <c r="H107" s="20">
        <v>191050.75104188372</v>
      </c>
      <c r="I107" s="20">
        <v>110891.27068881014</v>
      </c>
      <c r="J107" s="20">
        <v>229372.12382498244</v>
      </c>
      <c r="K107" s="20">
        <v>0</v>
      </c>
      <c r="L107" s="20">
        <v>0</v>
      </c>
      <c r="M107" s="20">
        <v>89505.059196611037</v>
      </c>
      <c r="N107" s="20">
        <v>59866.796146808359</v>
      </c>
      <c r="O107" s="20">
        <v>67246.79081744951</v>
      </c>
      <c r="P107" s="20">
        <v>0</v>
      </c>
      <c r="Q107" s="20">
        <v>0</v>
      </c>
      <c r="R107" s="20"/>
      <c r="S107" s="20">
        <v>77625.750694703253</v>
      </c>
      <c r="T107" s="20">
        <v>60676.224767295193</v>
      </c>
      <c r="U107" s="20">
        <v>149148.95212478214</v>
      </c>
      <c r="V107" s="20">
        <v>110891.27068881014</v>
      </c>
      <c r="W107" s="20">
        <v>110891.27068881014</v>
      </c>
      <c r="X107" s="20">
        <v>110891.27068881014</v>
      </c>
      <c r="Y107" s="20">
        <v>110891.27068881014</v>
      </c>
      <c r="Z107" s="20">
        <v>166336.9060332152</v>
      </c>
      <c r="AA107" s="20"/>
      <c r="AB107" s="20">
        <v>0</v>
      </c>
      <c r="AC107" s="20">
        <v>0</v>
      </c>
      <c r="AD107" s="20">
        <v>443565.08275524055</v>
      </c>
      <c r="AE107" s="20">
        <v>133644.63077825887</v>
      </c>
      <c r="AF107" s="20">
        <v>0</v>
      </c>
      <c r="AG107" s="20">
        <v>0</v>
      </c>
      <c r="AH107" s="20">
        <v>443565.08275524055</v>
      </c>
      <c r="AI107" s="20">
        <v>133644.63077825887</v>
      </c>
      <c r="AJ107" s="20">
        <v>443565.08275524055</v>
      </c>
      <c r="AK107" s="20">
        <v>443565.08275524055</v>
      </c>
      <c r="AL107" s="20">
        <v>443565.08275524055</v>
      </c>
      <c r="AM107" s="20">
        <v>332673.8120664304</v>
      </c>
      <c r="AN107" s="20">
        <v>443565.08275524055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/>
      <c r="AX107" s="20">
        <v>0</v>
      </c>
      <c r="AY107" s="20">
        <v>166336.9060332152</v>
      </c>
      <c r="AZ107" s="20">
        <v>332673.8120664304</v>
      </c>
      <c r="BA107" s="20">
        <v>1108912.7068881013</v>
      </c>
      <c r="BB107" s="20">
        <v>133644.63077825887</v>
      </c>
      <c r="BC107" s="20">
        <v>0</v>
      </c>
      <c r="BD107" s="20">
        <v>0</v>
      </c>
      <c r="BE107" s="20">
        <v>1774260.3310209622</v>
      </c>
      <c r="BF107" s="20">
        <v>33411.157694564718</v>
      </c>
      <c r="BG107" s="20">
        <v>332673.8120664304</v>
      </c>
      <c r="BH107" s="20">
        <v>0</v>
      </c>
      <c r="BI107" s="20">
        <v>0</v>
      </c>
      <c r="BJ107" s="20">
        <v>0</v>
      </c>
      <c r="BK107" s="20">
        <v>0</v>
      </c>
      <c r="BL107" s="20"/>
      <c r="BM107" s="20">
        <v>0</v>
      </c>
      <c r="BN107" s="20">
        <v>240362.61</v>
      </c>
      <c r="BO107" s="20">
        <v>3976.53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/>
      <c r="CM107" s="20">
        <v>0</v>
      </c>
      <c r="CN107" s="20">
        <v>0</v>
      </c>
      <c r="CO107" s="20">
        <v>111843.51999999999</v>
      </c>
      <c r="CP107" s="20">
        <v>0</v>
      </c>
      <c r="CQ107" s="20">
        <v>0</v>
      </c>
      <c r="CR107" s="20">
        <v>0</v>
      </c>
      <c r="CS107" s="20">
        <v>6600</v>
      </c>
      <c r="CT107" s="20">
        <v>0</v>
      </c>
      <c r="CU107" s="20">
        <v>30204.911764705881</v>
      </c>
      <c r="CV107" s="20">
        <v>0</v>
      </c>
      <c r="CW107" s="20"/>
      <c r="CX107" s="20">
        <v>0</v>
      </c>
      <c r="CY107" s="20">
        <v>0</v>
      </c>
      <c r="CZ107" s="20">
        <v>0</v>
      </c>
      <c r="DA107" s="20">
        <v>0</v>
      </c>
      <c r="DB107" s="20">
        <v>59300</v>
      </c>
      <c r="DC107" s="20">
        <v>141495.69742018561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/>
      <c r="DJ107" s="20">
        <v>33149.999898299575</v>
      </c>
      <c r="DK107" s="22">
        <v>0</v>
      </c>
      <c r="DL107" s="20">
        <v>0</v>
      </c>
      <c r="DM107" s="20">
        <v>0</v>
      </c>
      <c r="DN107" s="20">
        <v>9415485.9038773272</v>
      </c>
      <c r="DO107" s="20">
        <f t="shared" si="52"/>
        <v>4850188.9598442828</v>
      </c>
      <c r="DP107" s="21">
        <v>763075</v>
      </c>
      <c r="DQ107" s="20">
        <f t="shared" si="53"/>
        <v>0</v>
      </c>
      <c r="DR107" s="20">
        <f t="shared" si="54"/>
        <v>39749.999898299575</v>
      </c>
      <c r="DS107" s="20">
        <f t="shared" si="44"/>
        <v>723325.00010170043</v>
      </c>
      <c r="DT107" s="23">
        <f t="shared" si="45"/>
        <v>0.94790813498240722</v>
      </c>
      <c r="DU107" s="20">
        <f t="shared" si="55"/>
        <v>4414314.8873293633</v>
      </c>
      <c r="DV107" s="20">
        <f t="shared" si="56"/>
        <v>1741568.0557660058</v>
      </c>
      <c r="DW107" s="20">
        <f t="shared" si="57"/>
        <v>2140345.3007819573</v>
      </c>
      <c r="DX107" s="20">
        <f t="shared" si="58"/>
        <v>244339.13999999998</v>
      </c>
      <c r="DY107" s="20">
        <f t="shared" si="59"/>
        <v>0</v>
      </c>
      <c r="DZ107" s="20">
        <f t="shared" si="60"/>
        <v>0</v>
      </c>
      <c r="EA107" s="20">
        <f t="shared" si="61"/>
        <v>0</v>
      </c>
      <c r="EB107" s="20">
        <f t="shared" si="62"/>
        <v>111843.51999999999</v>
      </c>
      <c r="EC107" s="20">
        <f t="shared" si="46"/>
        <v>723325.00010170043</v>
      </c>
      <c r="ED107" s="20">
        <f t="shared" si="47"/>
        <v>0</v>
      </c>
      <c r="EE107" s="20">
        <f t="shared" si="47"/>
        <v>39749.999898299575</v>
      </c>
      <c r="EF107" s="20">
        <f t="shared" si="48"/>
        <v>763075</v>
      </c>
      <c r="EG107" s="23">
        <f t="shared" si="49"/>
        <v>0.94790813498240722</v>
      </c>
      <c r="EH107" s="20">
        <f t="shared" si="50"/>
        <v>9415485.9038773272</v>
      </c>
    </row>
    <row r="108" spans="1:138" x14ac:dyDescent="0.25">
      <c r="A108" s="18">
        <v>329</v>
      </c>
      <c r="B108" t="s">
        <v>249</v>
      </c>
      <c r="C108" t="s">
        <v>135</v>
      </c>
      <c r="D108">
        <v>8</v>
      </c>
      <c r="E108">
        <v>511</v>
      </c>
      <c r="F108" s="19">
        <f t="shared" si="43"/>
        <v>0.78864970645792565</v>
      </c>
      <c r="G108">
        <v>403</v>
      </c>
      <c r="H108" s="20">
        <v>191050.75104188372</v>
      </c>
      <c r="I108" s="20">
        <v>110891.27068881014</v>
      </c>
      <c r="J108" s="20">
        <v>198789.17398165143</v>
      </c>
      <c r="K108" s="20">
        <v>0</v>
      </c>
      <c r="L108" s="20">
        <v>0</v>
      </c>
      <c r="M108" s="20">
        <v>89505.059196611037</v>
      </c>
      <c r="N108" s="20">
        <v>59866.796146808359</v>
      </c>
      <c r="O108" s="20">
        <v>58280.552041789575</v>
      </c>
      <c r="P108" s="20">
        <v>0</v>
      </c>
      <c r="Q108" s="20">
        <v>0</v>
      </c>
      <c r="R108" s="20"/>
      <c r="S108" s="20">
        <v>77625.750694703253</v>
      </c>
      <c r="T108" s="20">
        <v>60676.224767295193</v>
      </c>
      <c r="U108" s="20">
        <v>149148.95212478214</v>
      </c>
      <c r="V108" s="20">
        <v>110891.27068881014</v>
      </c>
      <c r="W108" s="20">
        <v>110891.27068881014</v>
      </c>
      <c r="X108" s="20">
        <v>110891.27068881014</v>
      </c>
      <c r="Y108" s="20">
        <v>110891.27068881014</v>
      </c>
      <c r="Z108" s="20">
        <f>221782.54137762-AA108</f>
        <v>166336.90603321491</v>
      </c>
      <c r="AA108" s="20">
        <f>0.5*Y108</f>
        <v>55445.635344405069</v>
      </c>
      <c r="AB108" s="20">
        <v>221782.54137762028</v>
      </c>
      <c r="AC108" s="20">
        <v>66822.315389129435</v>
      </c>
      <c r="AD108" s="20">
        <v>110891.27068881014</v>
      </c>
      <c r="AE108" s="20">
        <v>33411.157694564718</v>
      </c>
      <c r="AF108" s="20">
        <v>221782.54137762028</v>
      </c>
      <c r="AG108" s="20">
        <v>66822.315389129435</v>
      </c>
      <c r="AH108" s="20">
        <v>332673.8120664304</v>
      </c>
      <c r="AI108" s="20">
        <v>100233.47308369415</v>
      </c>
      <c r="AJ108" s="20">
        <v>332673.8120664304</v>
      </c>
      <c r="AK108" s="20">
        <v>332673.8120664304</v>
      </c>
      <c r="AL108" s="20">
        <v>332673.8120664304</v>
      </c>
      <c r="AM108" s="20">
        <v>332673.8120664304</v>
      </c>
      <c r="AN108" s="20">
        <v>443565.08275524055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/>
      <c r="AX108" s="20">
        <v>0</v>
      </c>
      <c r="AY108" s="20">
        <v>110891.27068881014</v>
      </c>
      <c r="AZ108" s="20">
        <v>221782.54137762028</v>
      </c>
      <c r="BA108" s="20">
        <v>776238.89482167095</v>
      </c>
      <c r="BB108" s="20">
        <v>133644.63077825887</v>
      </c>
      <c r="BC108" s="20">
        <v>0</v>
      </c>
      <c r="BD108" s="20">
        <v>0</v>
      </c>
      <c r="BE108" s="20">
        <v>15121.536912110472</v>
      </c>
      <c r="BF108" s="20">
        <v>0</v>
      </c>
      <c r="BG108" s="20">
        <v>0</v>
      </c>
      <c r="BH108" s="21">
        <f>42960-14320</f>
        <v>28640</v>
      </c>
      <c r="BI108" s="21">
        <f>42960-28640</f>
        <v>14320</v>
      </c>
      <c r="BJ108" s="20"/>
      <c r="BK108" s="20">
        <v>0</v>
      </c>
      <c r="BL108" s="20"/>
      <c r="BM108" s="20">
        <v>53700</v>
      </c>
      <c r="BN108" s="20">
        <v>215218.3</v>
      </c>
      <c r="BO108" s="20">
        <v>3560.55</v>
      </c>
      <c r="BP108" s="20">
        <v>0</v>
      </c>
      <c r="BQ108" s="20">
        <v>114084.97559574516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/>
      <c r="CM108" s="20">
        <v>0</v>
      </c>
      <c r="CN108" s="20">
        <v>0</v>
      </c>
      <c r="CO108" s="20">
        <v>132202.4</v>
      </c>
      <c r="CP108" s="20">
        <v>0</v>
      </c>
      <c r="CQ108" s="20">
        <v>0</v>
      </c>
      <c r="CR108" s="20">
        <v>0</v>
      </c>
      <c r="CS108" s="20">
        <v>16120</v>
      </c>
      <c r="CT108" s="20">
        <v>0</v>
      </c>
      <c r="CU108" s="20">
        <v>28218.113207547169</v>
      </c>
      <c r="CV108" s="20">
        <v>0</v>
      </c>
      <c r="CW108" s="20"/>
      <c r="CX108" s="20">
        <v>0</v>
      </c>
      <c r="CY108" s="20">
        <v>0</v>
      </c>
      <c r="CZ108" s="20">
        <v>0</v>
      </c>
      <c r="DA108" s="20">
        <v>0</v>
      </c>
      <c r="DB108" s="20">
        <v>51100</v>
      </c>
      <c r="DC108" s="20">
        <v>95982.17478557791</v>
      </c>
      <c r="DD108" s="20">
        <v>0</v>
      </c>
      <c r="DE108" s="20">
        <v>0</v>
      </c>
      <c r="DF108" s="20">
        <v>13859</v>
      </c>
      <c r="DG108" s="20">
        <v>21356</v>
      </c>
      <c r="DH108" s="20">
        <v>0</v>
      </c>
      <c r="DI108" s="20"/>
      <c r="DJ108" s="20">
        <v>47625.000430271029</v>
      </c>
      <c r="DK108" s="22">
        <v>0</v>
      </c>
      <c r="DL108" s="20">
        <v>0</v>
      </c>
      <c r="DM108" s="20">
        <v>0</v>
      </c>
      <c r="DN108" s="20">
        <v>6683527.3015027689</v>
      </c>
      <c r="DO108" s="20">
        <f t="shared" si="52"/>
        <v>4422265.6379670938</v>
      </c>
      <c r="DP108" s="21">
        <v>931876</v>
      </c>
      <c r="DQ108" s="20">
        <f t="shared" si="53"/>
        <v>42960</v>
      </c>
      <c r="DR108" s="20">
        <f t="shared" si="54"/>
        <v>119190.63577467611</v>
      </c>
      <c r="DS108" s="20">
        <f t="shared" si="44"/>
        <v>769725.36422532389</v>
      </c>
      <c r="DT108" s="23">
        <f t="shared" si="45"/>
        <v>0.82599548032712922</v>
      </c>
      <c r="DU108" s="20">
        <f t="shared" si="55"/>
        <v>4089291.1769242962</v>
      </c>
      <c r="DV108" s="20">
        <f t="shared" si="56"/>
        <v>1242557.3376663602</v>
      </c>
      <c r="DW108" s="20">
        <f t="shared" si="57"/>
        <v>15121.536912110472</v>
      </c>
      <c r="DX108" s="20">
        <f t="shared" si="58"/>
        <v>272478.84999999998</v>
      </c>
      <c r="DY108" s="20">
        <f t="shared" si="59"/>
        <v>0</v>
      </c>
      <c r="DZ108" s="20">
        <f t="shared" si="60"/>
        <v>0</v>
      </c>
      <c r="EA108" s="20">
        <f t="shared" si="61"/>
        <v>0</v>
      </c>
      <c r="EB108" s="20">
        <f t="shared" si="62"/>
        <v>132202.4</v>
      </c>
      <c r="EC108" s="20">
        <f t="shared" si="46"/>
        <v>769725.36422532389</v>
      </c>
      <c r="ED108" s="20">
        <f t="shared" si="47"/>
        <v>42960</v>
      </c>
      <c r="EE108" s="20">
        <f t="shared" si="47"/>
        <v>119190.63577467611</v>
      </c>
      <c r="EF108" s="20">
        <f t="shared" si="48"/>
        <v>931876</v>
      </c>
      <c r="EG108" s="23">
        <f t="shared" si="49"/>
        <v>0.82599548032712922</v>
      </c>
      <c r="EH108" s="20">
        <f t="shared" si="50"/>
        <v>6683527.301502767</v>
      </c>
    </row>
    <row r="109" spans="1:138" x14ac:dyDescent="0.25">
      <c r="A109" s="18">
        <v>330</v>
      </c>
      <c r="B109" t="s">
        <v>250</v>
      </c>
      <c r="C109" t="s">
        <v>135</v>
      </c>
      <c r="D109">
        <v>6</v>
      </c>
      <c r="E109">
        <v>541</v>
      </c>
      <c r="F109" s="19">
        <f t="shared" si="43"/>
        <v>0.3733826247689464</v>
      </c>
      <c r="G109">
        <v>202</v>
      </c>
      <c r="H109" s="20">
        <v>191050.75104188372</v>
      </c>
      <c r="I109" s="20">
        <v>110891.27068881014</v>
      </c>
      <c r="J109" s="20">
        <v>214080.64890331691</v>
      </c>
      <c r="K109" s="20">
        <v>0</v>
      </c>
      <c r="L109" s="20">
        <v>0</v>
      </c>
      <c r="M109" s="20">
        <v>89505.059196611037</v>
      </c>
      <c r="N109" s="20">
        <v>59866.796146808359</v>
      </c>
      <c r="O109" s="20">
        <v>62763.671429619535</v>
      </c>
      <c r="P109" s="20">
        <v>0</v>
      </c>
      <c r="Q109" s="20">
        <v>0</v>
      </c>
      <c r="R109" s="20"/>
      <c r="S109" s="20">
        <v>77625.750694703253</v>
      </c>
      <c r="T109" s="20">
        <v>60676.224767295193</v>
      </c>
      <c r="U109" s="20">
        <v>149148.95212478214</v>
      </c>
      <c r="V109" s="20">
        <v>110891.27068881014</v>
      </c>
      <c r="W109" s="20">
        <v>110891.27068881014</v>
      </c>
      <c r="X109" s="20">
        <v>110891.27068881014</v>
      </c>
      <c r="Y109" s="20">
        <v>110891.27068881014</v>
      </c>
      <c r="Z109" s="20">
        <v>166336.9060332152</v>
      </c>
      <c r="AA109" s="20"/>
      <c r="AB109" s="20">
        <v>443565.08275524055</v>
      </c>
      <c r="AC109" s="20">
        <v>133644.63077825887</v>
      </c>
      <c r="AD109" s="20">
        <v>0</v>
      </c>
      <c r="AE109" s="20">
        <v>0</v>
      </c>
      <c r="AF109" s="20">
        <v>443565.08275524055</v>
      </c>
      <c r="AG109" s="20">
        <v>133644.63077825887</v>
      </c>
      <c r="AH109" s="20">
        <v>443565.08275524055</v>
      </c>
      <c r="AI109" s="20">
        <v>133644.63077825887</v>
      </c>
      <c r="AJ109" s="20">
        <v>443565.08275524055</v>
      </c>
      <c r="AK109" s="20">
        <v>332673.8120664304</v>
      </c>
      <c r="AL109" s="20">
        <v>332673.8120664304</v>
      </c>
      <c r="AM109" s="20">
        <v>332673.8120664304</v>
      </c>
      <c r="AN109" s="20">
        <v>332673.8120664304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/>
      <c r="AX109" s="20">
        <v>0</v>
      </c>
      <c r="AY109" s="20">
        <v>110891.27068881014</v>
      </c>
      <c r="AZ109" s="20">
        <v>110891.27068881014</v>
      </c>
      <c r="BA109" s="20">
        <v>1108912.7068881013</v>
      </c>
      <c r="BB109" s="20">
        <v>300700.41925108247</v>
      </c>
      <c r="BC109" s="20">
        <v>0</v>
      </c>
      <c r="BD109" s="20">
        <v>114084.97559574516</v>
      </c>
      <c r="BE109" s="20">
        <v>110891.27068881014</v>
      </c>
      <c r="BF109" s="20">
        <v>0</v>
      </c>
      <c r="BG109" s="20">
        <v>0</v>
      </c>
      <c r="BH109" s="21">
        <f>35800-7160</f>
        <v>28640</v>
      </c>
      <c r="BI109" s="21">
        <f>35800-21480</f>
        <v>14320</v>
      </c>
      <c r="BJ109" s="20"/>
      <c r="BK109" s="20">
        <v>0</v>
      </c>
      <c r="BL109" s="20"/>
      <c r="BM109" s="20">
        <v>39380</v>
      </c>
      <c r="BN109" s="20">
        <v>224594.14</v>
      </c>
      <c r="BO109" s="20">
        <v>3715.66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/>
      <c r="CM109" s="20">
        <v>0</v>
      </c>
      <c r="CN109" s="20">
        <v>0</v>
      </c>
      <c r="CO109" s="20">
        <v>111843.51999999999</v>
      </c>
      <c r="CP109" s="20">
        <v>0</v>
      </c>
      <c r="CQ109" s="20">
        <v>0</v>
      </c>
      <c r="CR109" s="20">
        <v>0</v>
      </c>
      <c r="CS109" s="20">
        <v>4040</v>
      </c>
      <c r="CT109" s="20">
        <v>0</v>
      </c>
      <c r="CU109" s="20">
        <v>28245.58510638298</v>
      </c>
      <c r="CV109" s="20">
        <v>0</v>
      </c>
      <c r="CW109" s="20"/>
      <c r="CX109" s="20">
        <v>0</v>
      </c>
      <c r="CY109" s="20">
        <v>0</v>
      </c>
      <c r="CZ109" s="20">
        <v>0</v>
      </c>
      <c r="DA109" s="20">
        <v>0</v>
      </c>
      <c r="DB109" s="20">
        <v>54100</v>
      </c>
      <c r="DC109" s="20">
        <v>112503.1372372022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/>
      <c r="DJ109" s="20">
        <v>14574.999584071338</v>
      </c>
      <c r="DK109" s="22">
        <v>0</v>
      </c>
      <c r="DL109" s="20">
        <v>0</v>
      </c>
      <c r="DM109" s="20">
        <v>0</v>
      </c>
      <c r="DN109" s="20">
        <v>7623729.5411327621</v>
      </c>
      <c r="DO109" s="20">
        <f t="shared" si="52"/>
        <v>5038798.3801605506</v>
      </c>
      <c r="DP109" s="21">
        <v>467094</v>
      </c>
      <c r="DQ109" s="20">
        <f t="shared" si="53"/>
        <v>42960</v>
      </c>
      <c r="DR109" s="20">
        <f t="shared" si="54"/>
        <v>18614.999584071338</v>
      </c>
      <c r="DS109" s="20">
        <f t="shared" si="44"/>
        <v>405519.00041592866</v>
      </c>
      <c r="DT109" s="23">
        <f t="shared" si="45"/>
        <v>0.868174287008458</v>
      </c>
      <c r="DU109" s="20">
        <f t="shared" si="55"/>
        <v>4920730.3073314028</v>
      </c>
      <c r="DV109" s="20">
        <f t="shared" si="56"/>
        <v>1745480.6431125493</v>
      </c>
      <c r="DW109" s="20">
        <f t="shared" si="57"/>
        <v>110891.27068881014</v>
      </c>
      <c r="DX109" s="20">
        <f t="shared" si="58"/>
        <v>267689.8</v>
      </c>
      <c r="DY109" s="20">
        <f t="shared" si="59"/>
        <v>0</v>
      </c>
      <c r="DZ109" s="20">
        <f t="shared" si="60"/>
        <v>0</v>
      </c>
      <c r="EA109" s="20">
        <f t="shared" si="61"/>
        <v>0</v>
      </c>
      <c r="EB109" s="20">
        <f t="shared" si="62"/>
        <v>111843.51999999999</v>
      </c>
      <c r="EC109" s="20">
        <f t="shared" si="46"/>
        <v>405519.00041592866</v>
      </c>
      <c r="ED109" s="20">
        <f t="shared" si="47"/>
        <v>42960</v>
      </c>
      <c r="EE109" s="20">
        <f t="shared" si="47"/>
        <v>18614.999584071338</v>
      </c>
      <c r="EF109" s="20">
        <f t="shared" si="48"/>
        <v>467094</v>
      </c>
      <c r="EG109" s="23">
        <f t="shared" si="49"/>
        <v>0.868174287008458</v>
      </c>
      <c r="EH109" s="20">
        <f t="shared" si="50"/>
        <v>7623729.5411327621</v>
      </c>
    </row>
    <row r="110" spans="1:138" x14ac:dyDescent="0.25">
      <c r="A110" s="18">
        <v>331</v>
      </c>
      <c r="B110" t="s">
        <v>251</v>
      </c>
      <c r="C110" t="s">
        <v>135</v>
      </c>
      <c r="D110">
        <v>6</v>
      </c>
      <c r="E110">
        <v>380</v>
      </c>
      <c r="F110" s="19">
        <f t="shared" si="43"/>
        <v>0.21842105263157896</v>
      </c>
      <c r="G110">
        <v>83</v>
      </c>
      <c r="H110" s="20">
        <v>191050.75104188372</v>
      </c>
      <c r="I110" s="20">
        <v>110891.27068881014</v>
      </c>
      <c r="J110" s="20">
        <v>152914.74921665495</v>
      </c>
      <c r="K110" s="20">
        <v>0</v>
      </c>
      <c r="L110" s="20">
        <v>0</v>
      </c>
      <c r="M110" s="20">
        <v>89505.059196611037</v>
      </c>
      <c r="N110" s="20">
        <v>59866.796146808359</v>
      </c>
      <c r="O110" s="20">
        <v>0</v>
      </c>
      <c r="P110" s="20">
        <v>0</v>
      </c>
      <c r="Q110" s="20">
        <v>0</v>
      </c>
      <c r="R110" s="20"/>
      <c r="S110" s="20">
        <v>77625.750694703253</v>
      </c>
      <c r="T110" s="20">
        <v>60676.224767295193</v>
      </c>
      <c r="U110" s="20">
        <v>99432.634749854755</v>
      </c>
      <c r="V110" s="20">
        <v>110891.27068881014</v>
      </c>
      <c r="W110" s="20">
        <v>110891.27068881014</v>
      </c>
      <c r="X110" s="20">
        <v>110891.27068881014</v>
      </c>
      <c r="Y110" s="20">
        <v>110891.27068881014</v>
      </c>
      <c r="Z110" s="20">
        <v>0</v>
      </c>
      <c r="AA110" s="20"/>
      <c r="AB110" s="20">
        <v>221782.54137762028</v>
      </c>
      <c r="AC110" s="20">
        <v>66822.315389129435</v>
      </c>
      <c r="AD110" s="20">
        <v>0</v>
      </c>
      <c r="AE110" s="20">
        <v>0</v>
      </c>
      <c r="AF110" s="20">
        <v>221782.54137762028</v>
      </c>
      <c r="AG110" s="20">
        <v>66822.315389129435</v>
      </c>
      <c r="AH110" s="20">
        <v>332673.8120664304</v>
      </c>
      <c r="AI110" s="20">
        <v>100233.47308369415</v>
      </c>
      <c r="AJ110" s="20">
        <v>332673.8120664304</v>
      </c>
      <c r="AK110" s="20">
        <v>332673.8120664304</v>
      </c>
      <c r="AL110" s="20">
        <v>221782.54137762028</v>
      </c>
      <c r="AM110" s="20">
        <v>332673.8120664304</v>
      </c>
      <c r="AN110" s="20">
        <v>221730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/>
      <c r="AX110" s="20">
        <v>0</v>
      </c>
      <c r="AY110" s="20">
        <v>110891.27068881014</v>
      </c>
      <c r="AZ110" s="20">
        <v>110891.27068881014</v>
      </c>
      <c r="BA110" s="20">
        <v>443565.08275524055</v>
      </c>
      <c r="BB110" s="20">
        <v>0</v>
      </c>
      <c r="BC110" s="20">
        <v>48327.936512970991</v>
      </c>
      <c r="BD110" s="20">
        <v>0</v>
      </c>
      <c r="BE110" s="20">
        <v>25202.561520184121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/>
      <c r="BM110" s="20">
        <v>0</v>
      </c>
      <c r="BN110" s="20">
        <v>69458.789999999994</v>
      </c>
      <c r="BO110" s="20">
        <v>1077.93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/>
      <c r="CM110" s="20">
        <v>0</v>
      </c>
      <c r="CN110" s="20">
        <v>0</v>
      </c>
      <c r="CO110" s="20">
        <v>111843.51999999999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20930.899135446685</v>
      </c>
      <c r="CV110" s="20">
        <v>0</v>
      </c>
      <c r="CW110" s="20"/>
      <c r="CX110" s="20">
        <v>0</v>
      </c>
      <c r="CY110" s="20">
        <v>0</v>
      </c>
      <c r="CZ110" s="20">
        <v>0</v>
      </c>
      <c r="DA110" s="20">
        <v>0</v>
      </c>
      <c r="DB110" s="20">
        <v>38000</v>
      </c>
      <c r="DC110" s="20">
        <v>68494.671424719054</v>
      </c>
      <c r="DD110" s="20">
        <v>0</v>
      </c>
      <c r="DE110" s="20">
        <v>0</v>
      </c>
      <c r="DF110" s="20">
        <v>13859</v>
      </c>
      <c r="DG110" s="20">
        <v>0</v>
      </c>
      <c r="DH110" s="20">
        <v>0</v>
      </c>
      <c r="DI110" s="20"/>
      <c r="DJ110" s="20">
        <v>3375.0001206994057</v>
      </c>
      <c r="DK110" s="22">
        <v>0</v>
      </c>
      <c r="DL110" s="20">
        <v>0</v>
      </c>
      <c r="DM110" s="20">
        <v>0</v>
      </c>
      <c r="DN110" s="20">
        <v>4803097.2283652797</v>
      </c>
      <c r="DO110" s="20">
        <f t="shared" si="52"/>
        <v>3626870.2558667096</v>
      </c>
      <c r="DP110" s="21">
        <v>191925</v>
      </c>
      <c r="DQ110" s="20">
        <f t="shared" si="53"/>
        <v>0</v>
      </c>
      <c r="DR110" s="20">
        <f t="shared" si="54"/>
        <v>3375.0001206994057</v>
      </c>
      <c r="DS110" s="20">
        <f t="shared" si="44"/>
        <v>188549.99987930059</v>
      </c>
      <c r="DT110" s="23">
        <f t="shared" si="45"/>
        <v>0.98241500523277636</v>
      </c>
      <c r="DU110" s="20">
        <f t="shared" si="55"/>
        <v>3689913.8661992615</v>
      </c>
      <c r="DV110" s="20">
        <f t="shared" si="56"/>
        <v>713675.56064583175</v>
      </c>
      <c r="DW110" s="20">
        <f t="shared" si="57"/>
        <v>25202.561520184121</v>
      </c>
      <c r="DX110" s="20">
        <f t="shared" si="58"/>
        <v>70536.719999999987</v>
      </c>
      <c r="DY110" s="20">
        <f t="shared" si="59"/>
        <v>0</v>
      </c>
      <c r="DZ110" s="20">
        <f t="shared" si="60"/>
        <v>0</v>
      </c>
      <c r="EA110" s="20">
        <f t="shared" si="61"/>
        <v>0</v>
      </c>
      <c r="EB110" s="20">
        <f t="shared" si="62"/>
        <v>111843.51999999999</v>
      </c>
      <c r="EC110" s="20">
        <f t="shared" si="46"/>
        <v>188549.99987930059</v>
      </c>
      <c r="ED110" s="20">
        <f t="shared" si="47"/>
        <v>0</v>
      </c>
      <c r="EE110" s="20">
        <f t="shared" si="47"/>
        <v>3375.0001206994057</v>
      </c>
      <c r="EF110" s="20">
        <f t="shared" si="48"/>
        <v>191925</v>
      </c>
      <c r="EG110" s="23">
        <f t="shared" si="49"/>
        <v>0.98241500523277636</v>
      </c>
      <c r="EH110" s="20">
        <f t="shared" si="50"/>
        <v>4803097.2283652769</v>
      </c>
    </row>
    <row r="111" spans="1:138" x14ac:dyDescent="0.25">
      <c r="A111" s="18">
        <v>332</v>
      </c>
      <c r="B111" t="s">
        <v>252</v>
      </c>
      <c r="C111" t="s">
        <v>150</v>
      </c>
      <c r="D111">
        <v>6</v>
      </c>
      <c r="E111">
        <v>404</v>
      </c>
      <c r="F111" s="19">
        <f t="shared" si="43"/>
        <v>0.74257425742574257</v>
      </c>
      <c r="G111">
        <v>300</v>
      </c>
      <c r="H111" s="20">
        <v>191050.75104188372</v>
      </c>
      <c r="I111" s="20">
        <v>110891.27068881014</v>
      </c>
      <c r="J111" s="20">
        <v>61165.899686661985</v>
      </c>
      <c r="K111" s="20">
        <v>110891.27068881014</v>
      </c>
      <c r="L111" s="20">
        <v>0</v>
      </c>
      <c r="M111" s="20">
        <v>89505.059196611037</v>
      </c>
      <c r="N111" s="20">
        <v>59866.796146808359</v>
      </c>
      <c r="O111" s="20">
        <v>44831.193878299673</v>
      </c>
      <c r="P111" s="20">
        <v>0</v>
      </c>
      <c r="Q111" s="20">
        <v>0</v>
      </c>
      <c r="R111" s="20"/>
      <c r="S111" s="20">
        <v>77625.750694703253</v>
      </c>
      <c r="T111" s="20">
        <v>60676.224767295193</v>
      </c>
      <c r="U111" s="20">
        <v>149148.95212478214</v>
      </c>
      <c r="V111" s="20">
        <v>110891.27068881014</v>
      </c>
      <c r="W111" s="20">
        <v>110891.27068881014</v>
      </c>
      <c r="X111" s="20">
        <v>110891.27068881014</v>
      </c>
      <c r="Y111" s="20">
        <v>110891.27068881014</v>
      </c>
      <c r="Z111" s="20">
        <v>0</v>
      </c>
      <c r="AA111" s="20"/>
      <c r="AB111" s="20">
        <v>221782.54137762028</v>
      </c>
      <c r="AC111" s="20">
        <v>66822.315389129435</v>
      </c>
      <c r="AD111" s="20">
        <v>0</v>
      </c>
      <c r="AE111" s="20">
        <v>0</v>
      </c>
      <c r="AF111" s="20">
        <v>221782.54137762028</v>
      </c>
      <c r="AG111" s="20">
        <v>66822.315389129435</v>
      </c>
      <c r="AH111" s="20">
        <v>221782.54137762028</v>
      </c>
      <c r="AI111" s="20">
        <v>66822.315389129435</v>
      </c>
      <c r="AJ111" s="20">
        <v>221782.54137762028</v>
      </c>
      <c r="AK111" s="20">
        <v>221782.54137762028</v>
      </c>
      <c r="AL111" s="20">
        <v>221782.54137762028</v>
      </c>
      <c r="AM111" s="20">
        <v>221782.54137762028</v>
      </c>
      <c r="AN111" s="20">
        <v>221782.54137762028</v>
      </c>
      <c r="AO111" s="20">
        <v>188515.16017097724</v>
      </c>
      <c r="AP111" s="20">
        <v>243960.79551538231</v>
      </c>
      <c r="AQ111" s="20">
        <v>144158.65189545319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/>
      <c r="AX111" s="20">
        <v>0</v>
      </c>
      <c r="AY111" s="20">
        <v>110891.27068881014</v>
      </c>
      <c r="AZ111" s="20">
        <v>221782.54137762028</v>
      </c>
      <c r="BA111" s="20">
        <v>1108912.7068881013</v>
      </c>
      <c r="BB111" s="20">
        <v>267289.26155651774</v>
      </c>
      <c r="BC111" s="20">
        <v>0</v>
      </c>
      <c r="BD111" s="20">
        <v>114084.97559574516</v>
      </c>
      <c r="BE111" s="20">
        <v>110891.27068881014</v>
      </c>
      <c r="BF111" s="20">
        <v>0</v>
      </c>
      <c r="BG111" s="20">
        <v>0</v>
      </c>
      <c r="BH111" s="21">
        <f>42960-14320</f>
        <v>28640</v>
      </c>
      <c r="BI111" s="21">
        <f>42960-28640</f>
        <v>14320</v>
      </c>
      <c r="BJ111" s="20"/>
      <c r="BK111" s="20">
        <v>0</v>
      </c>
      <c r="BL111" s="20"/>
      <c r="BM111" s="20">
        <v>53700</v>
      </c>
      <c r="BN111" s="20">
        <v>176436.39</v>
      </c>
      <c r="BO111" s="20">
        <v>2918.94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0">
        <v>0</v>
      </c>
      <c r="CJ111" s="20">
        <v>0</v>
      </c>
      <c r="CK111" s="20">
        <v>221782.54137762028</v>
      </c>
      <c r="CL111" s="20"/>
      <c r="CM111" s="20">
        <v>23000</v>
      </c>
      <c r="CN111" s="20">
        <v>5000</v>
      </c>
      <c r="CO111" s="20">
        <v>244045.91999999998</v>
      </c>
      <c r="CP111" s="20">
        <v>100000</v>
      </c>
      <c r="CQ111" s="20">
        <v>0</v>
      </c>
      <c r="CR111" s="20">
        <v>0</v>
      </c>
      <c r="CS111" s="20">
        <v>6000</v>
      </c>
      <c r="CT111" s="20">
        <v>0</v>
      </c>
      <c r="CU111" s="20">
        <v>24417.714285714286</v>
      </c>
      <c r="CV111" s="20">
        <v>0</v>
      </c>
      <c r="CW111" s="20"/>
      <c r="CX111" s="20">
        <v>0</v>
      </c>
      <c r="CY111" s="20">
        <v>0</v>
      </c>
      <c r="CZ111" s="20">
        <v>0</v>
      </c>
      <c r="DA111" s="20">
        <v>0</v>
      </c>
      <c r="DB111" s="20">
        <v>40400</v>
      </c>
      <c r="DC111" s="20">
        <v>99920.056744274043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/>
      <c r="DJ111" s="20">
        <v>26125.000840052962</v>
      </c>
      <c r="DK111" s="22">
        <v>0</v>
      </c>
      <c r="DL111" s="20">
        <v>0</v>
      </c>
      <c r="DM111" s="20">
        <v>0</v>
      </c>
      <c r="DN111" s="20">
        <v>6951138.7264833357</v>
      </c>
      <c r="DO111" s="20">
        <f t="shared" si="52"/>
        <v>4177649.5212608976</v>
      </c>
      <c r="DP111" s="21">
        <v>693704</v>
      </c>
      <c r="DQ111" s="20">
        <f t="shared" si="53"/>
        <v>42960</v>
      </c>
      <c r="DR111" s="20">
        <f t="shared" si="54"/>
        <v>32125.000840052962</v>
      </c>
      <c r="DS111" s="20">
        <f t="shared" si="44"/>
        <v>618618.99915994704</v>
      </c>
      <c r="DT111" s="23">
        <f t="shared" si="45"/>
        <v>0.89176219130918521</v>
      </c>
      <c r="DU111" s="20">
        <f t="shared" si="55"/>
        <v>3846481.4496877305</v>
      </c>
      <c r="DV111" s="20">
        <f t="shared" si="56"/>
        <v>1822960.7561067948</v>
      </c>
      <c r="DW111" s="20">
        <f t="shared" si="57"/>
        <v>110891.27068881014</v>
      </c>
      <c r="DX111" s="20">
        <f t="shared" si="58"/>
        <v>233055.33000000002</v>
      </c>
      <c r="DY111" s="20">
        <f t="shared" si="59"/>
        <v>0</v>
      </c>
      <c r="DZ111" s="20">
        <f t="shared" si="60"/>
        <v>0</v>
      </c>
      <c r="EA111" s="20">
        <f t="shared" si="61"/>
        <v>0</v>
      </c>
      <c r="EB111" s="20">
        <f t="shared" si="62"/>
        <v>244045.91999999998</v>
      </c>
      <c r="EC111" s="20">
        <f t="shared" si="46"/>
        <v>618618.99915994704</v>
      </c>
      <c r="ED111" s="20">
        <f t="shared" si="47"/>
        <v>42960</v>
      </c>
      <c r="EE111" s="20">
        <f t="shared" si="47"/>
        <v>32125.000840052962</v>
      </c>
      <c r="EF111" s="20">
        <f t="shared" si="48"/>
        <v>693704</v>
      </c>
      <c r="EG111" s="23">
        <f t="shared" si="49"/>
        <v>0.89176219130918521</v>
      </c>
      <c r="EH111" s="20">
        <f t="shared" si="50"/>
        <v>6951138.7264833357</v>
      </c>
    </row>
    <row r="112" spans="1:138" x14ac:dyDescent="0.25">
      <c r="A112" s="18">
        <v>333</v>
      </c>
      <c r="B112" t="s">
        <v>253</v>
      </c>
      <c r="C112" t="s">
        <v>135</v>
      </c>
      <c r="D112">
        <v>6</v>
      </c>
      <c r="E112">
        <v>456</v>
      </c>
      <c r="F112" s="19">
        <f t="shared" si="43"/>
        <v>0.27850877192982454</v>
      </c>
      <c r="G112">
        <v>127</v>
      </c>
      <c r="H112" s="20">
        <v>191050.75104188372</v>
      </c>
      <c r="I112" s="20">
        <v>110891.27068881014</v>
      </c>
      <c r="J112" s="20">
        <v>168206.22413832045</v>
      </c>
      <c r="K112" s="20">
        <v>0</v>
      </c>
      <c r="L112" s="20">
        <v>0</v>
      </c>
      <c r="M112" s="20">
        <v>89505.059196611037</v>
      </c>
      <c r="N112" s="20">
        <v>59866.796146808359</v>
      </c>
      <c r="O112" s="20">
        <v>49314.313266129648</v>
      </c>
      <c r="P112" s="20">
        <v>0</v>
      </c>
      <c r="Q112" s="20">
        <v>0</v>
      </c>
      <c r="R112" s="20"/>
      <c r="S112" s="20">
        <v>77625.750694703253</v>
      </c>
      <c r="T112" s="20">
        <v>60676.224767295193</v>
      </c>
      <c r="U112" s="20">
        <v>99432.634749854755</v>
      </c>
      <c r="V112" s="20">
        <v>110891.27068881014</v>
      </c>
      <c r="W112" s="20">
        <v>110891.27068881014</v>
      </c>
      <c r="X112" s="20">
        <v>110891.27068881014</v>
      </c>
      <c r="Y112" s="20">
        <v>110891.27068881014</v>
      </c>
      <c r="Z112" s="20">
        <v>166336.9060332152</v>
      </c>
      <c r="AA112" s="20"/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443565.08275524055</v>
      </c>
      <c r="AK112" s="20">
        <v>443565.08275524055</v>
      </c>
      <c r="AL112" s="20">
        <v>443565.08275524055</v>
      </c>
      <c r="AM112" s="20">
        <v>443565.08275524055</v>
      </c>
      <c r="AN112" s="20">
        <v>443565.08275524055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/>
      <c r="AX112" s="20">
        <v>0</v>
      </c>
      <c r="AY112" s="20">
        <v>55445.635344405069</v>
      </c>
      <c r="AZ112" s="20">
        <v>221782.54137762028</v>
      </c>
      <c r="BA112" s="20">
        <v>332673.8120664304</v>
      </c>
      <c r="BB112" s="20">
        <v>0</v>
      </c>
      <c r="BC112" s="20">
        <v>0</v>
      </c>
      <c r="BD112" s="20">
        <v>0</v>
      </c>
      <c r="BE112" s="20">
        <v>15121.536912110472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/>
      <c r="BM112" s="20">
        <v>0</v>
      </c>
      <c r="BN112" s="20">
        <v>0</v>
      </c>
      <c r="BO112" s="20">
        <v>0</v>
      </c>
      <c r="BP112" s="20">
        <v>11150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/>
      <c r="CM112" s="20">
        <v>0</v>
      </c>
      <c r="CN112" s="20">
        <v>0</v>
      </c>
      <c r="CO112" s="20">
        <v>111843.51999999999</v>
      </c>
      <c r="CP112" s="20">
        <v>0</v>
      </c>
      <c r="CQ112" s="20">
        <v>0</v>
      </c>
      <c r="CR112" s="20">
        <v>0</v>
      </c>
      <c r="CS112" s="20">
        <v>2540</v>
      </c>
      <c r="CT112" s="20">
        <v>0</v>
      </c>
      <c r="CU112" s="20">
        <v>24814.869565217392</v>
      </c>
      <c r="CV112" s="20">
        <v>0</v>
      </c>
      <c r="CW112" s="20"/>
      <c r="CX112" s="20">
        <v>0</v>
      </c>
      <c r="CY112" s="20">
        <v>0</v>
      </c>
      <c r="CZ112" s="20">
        <v>0</v>
      </c>
      <c r="DA112" s="20">
        <v>0</v>
      </c>
      <c r="DB112" s="20">
        <v>45600</v>
      </c>
      <c r="DC112" s="20">
        <v>70185.051242585832</v>
      </c>
      <c r="DD112" s="20">
        <v>128096.60623655468</v>
      </c>
      <c r="DE112" s="20">
        <v>0</v>
      </c>
      <c r="DF112" s="20">
        <v>0</v>
      </c>
      <c r="DG112" s="20">
        <v>0</v>
      </c>
      <c r="DH112" s="20">
        <v>0</v>
      </c>
      <c r="DI112" s="20"/>
      <c r="DJ112" s="20">
        <v>20349.999848380685</v>
      </c>
      <c r="DK112" s="22">
        <v>0</v>
      </c>
      <c r="DL112" s="20">
        <v>0</v>
      </c>
      <c r="DM112" s="20">
        <v>0</v>
      </c>
      <c r="DN112" s="20">
        <v>4773899.9998483807</v>
      </c>
      <c r="DO112" s="20">
        <f t="shared" si="52"/>
        <v>3637161.7378510251</v>
      </c>
      <c r="DP112" s="21">
        <v>293668</v>
      </c>
      <c r="DQ112" s="20">
        <f t="shared" si="53"/>
        <v>0</v>
      </c>
      <c r="DR112" s="20">
        <f t="shared" si="54"/>
        <v>22889.999848380685</v>
      </c>
      <c r="DS112" s="20">
        <f t="shared" si="44"/>
        <v>270778.00015161932</v>
      </c>
      <c r="DT112" s="23">
        <f t="shared" si="45"/>
        <v>0.92205483795176635</v>
      </c>
      <c r="DU112" s="20">
        <f t="shared" si="55"/>
        <v>3604118.3479112587</v>
      </c>
      <c r="DV112" s="20">
        <f t="shared" si="56"/>
        <v>609901.98878845572</v>
      </c>
      <c r="DW112" s="20">
        <f t="shared" si="57"/>
        <v>15121.536912110472</v>
      </c>
      <c r="DX112" s="20">
        <f t="shared" si="58"/>
        <v>11150</v>
      </c>
      <c r="DY112" s="20">
        <f t="shared" si="59"/>
        <v>0</v>
      </c>
      <c r="DZ112" s="20">
        <f t="shared" si="60"/>
        <v>128096.60623655468</v>
      </c>
      <c r="EA112" s="20">
        <f t="shared" si="61"/>
        <v>0</v>
      </c>
      <c r="EB112" s="20">
        <f t="shared" si="62"/>
        <v>111843.51999999999</v>
      </c>
      <c r="EC112" s="20">
        <f t="shared" si="46"/>
        <v>270778.00015161932</v>
      </c>
      <c r="ED112" s="20">
        <f t="shared" si="47"/>
        <v>0</v>
      </c>
      <c r="EE112" s="20">
        <f t="shared" si="47"/>
        <v>22889.999848380685</v>
      </c>
      <c r="EF112" s="20">
        <f t="shared" si="48"/>
        <v>293668</v>
      </c>
      <c r="EG112" s="23">
        <f t="shared" si="49"/>
        <v>0.92205483795176635</v>
      </c>
      <c r="EH112" s="20">
        <f t="shared" si="50"/>
        <v>4773899.9998483798</v>
      </c>
    </row>
    <row r="113" spans="1:138" x14ac:dyDescent="0.25">
      <c r="A113" s="18">
        <v>336</v>
      </c>
      <c r="B113" t="s">
        <v>254</v>
      </c>
      <c r="C113" t="s">
        <v>135</v>
      </c>
      <c r="D113">
        <v>4</v>
      </c>
      <c r="E113">
        <v>355</v>
      </c>
      <c r="F113" s="19">
        <f t="shared" si="43"/>
        <v>0.46760563380281689</v>
      </c>
      <c r="G113">
        <v>166</v>
      </c>
      <c r="H113" s="20">
        <v>191050.75104188372</v>
      </c>
      <c r="I113" s="20">
        <v>110891.27068881014</v>
      </c>
      <c r="J113" s="20">
        <v>137623.27429498945</v>
      </c>
      <c r="K113" s="20">
        <v>0</v>
      </c>
      <c r="L113" s="20">
        <v>0</v>
      </c>
      <c r="M113" s="20">
        <v>89505.059196611037</v>
      </c>
      <c r="N113" s="20">
        <v>59866.796146808359</v>
      </c>
      <c r="O113" s="20">
        <v>0</v>
      </c>
      <c r="P113" s="20">
        <v>0</v>
      </c>
      <c r="Q113" s="20">
        <v>0</v>
      </c>
      <c r="R113" s="20"/>
      <c r="S113" s="20">
        <v>77625.750694703253</v>
      </c>
      <c r="T113" s="20">
        <v>60676.224767295193</v>
      </c>
      <c r="U113" s="20">
        <v>99432.634749854755</v>
      </c>
      <c r="V113" s="20">
        <v>110891.27068881014</v>
      </c>
      <c r="W113" s="20">
        <v>110891.27068881014</v>
      </c>
      <c r="X113" s="20">
        <v>110891.27068881014</v>
      </c>
      <c r="Y113" s="20">
        <v>110891.27068881014</v>
      </c>
      <c r="Z113" s="20">
        <v>0</v>
      </c>
      <c r="AA113" s="20"/>
      <c r="AB113" s="20">
        <v>332673.8120664304</v>
      </c>
      <c r="AC113" s="20">
        <v>100233.47308369415</v>
      </c>
      <c r="AD113" s="20">
        <v>0</v>
      </c>
      <c r="AE113" s="20">
        <v>0</v>
      </c>
      <c r="AF113" s="20">
        <v>221782.54137762028</v>
      </c>
      <c r="AG113" s="20">
        <v>66822.315389129435</v>
      </c>
      <c r="AH113" s="20">
        <v>221782.54137762028</v>
      </c>
      <c r="AI113" s="20">
        <v>66822.315389129435</v>
      </c>
      <c r="AJ113" s="20">
        <v>332673.8120664304</v>
      </c>
      <c r="AK113" s="20">
        <v>221782.54137762028</v>
      </c>
      <c r="AL113" s="20">
        <v>221782.54137762028</v>
      </c>
      <c r="AM113" s="20">
        <v>221782.54137762028</v>
      </c>
      <c r="AN113" s="20">
        <v>221782.54137762028</v>
      </c>
      <c r="AO113" s="20">
        <v>0</v>
      </c>
      <c r="AP113" s="20">
        <v>0</v>
      </c>
      <c r="AQ113" s="20">
        <v>166336.9060332152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/>
      <c r="AX113" s="20">
        <v>0</v>
      </c>
      <c r="AY113" s="20">
        <v>55445.635344405069</v>
      </c>
      <c r="AZ113" s="20">
        <v>110891.27068881014</v>
      </c>
      <c r="BA113" s="20">
        <v>554456.35344405065</v>
      </c>
      <c r="BB113" s="20">
        <v>100233.47308369415</v>
      </c>
      <c r="BC113" s="20">
        <v>0</v>
      </c>
      <c r="BD113" s="20">
        <v>0</v>
      </c>
      <c r="BE113" s="20">
        <v>443565.08275524055</v>
      </c>
      <c r="BF113" s="20">
        <v>0</v>
      </c>
      <c r="BG113" s="20">
        <v>0</v>
      </c>
      <c r="BH113" s="21">
        <f>42960-14320</f>
        <v>28640</v>
      </c>
      <c r="BI113" s="21">
        <f>42960-28640</f>
        <v>14320</v>
      </c>
      <c r="BJ113" s="20"/>
      <c r="BK113" s="20">
        <v>0</v>
      </c>
      <c r="BL113" s="20"/>
      <c r="BM113" s="20">
        <v>53700</v>
      </c>
      <c r="BN113" s="20">
        <v>145751.79999999999</v>
      </c>
      <c r="BO113" s="20">
        <v>2411.3000000000002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/>
      <c r="CM113" s="20">
        <v>0</v>
      </c>
      <c r="CN113" s="20">
        <v>0</v>
      </c>
      <c r="CO113" s="20">
        <v>111843.51999999999</v>
      </c>
      <c r="CP113" s="20">
        <v>0</v>
      </c>
      <c r="CQ113" s="20">
        <v>0</v>
      </c>
      <c r="CR113" s="20">
        <v>0</v>
      </c>
      <c r="CS113" s="20">
        <v>3320</v>
      </c>
      <c r="CT113" s="20">
        <v>0</v>
      </c>
      <c r="CU113" s="20">
        <v>19922</v>
      </c>
      <c r="CV113" s="20">
        <v>0</v>
      </c>
      <c r="CW113" s="20"/>
      <c r="CX113" s="20">
        <v>0</v>
      </c>
      <c r="CY113" s="20">
        <v>0</v>
      </c>
      <c r="CZ113" s="20">
        <v>0</v>
      </c>
      <c r="DA113" s="20">
        <v>0</v>
      </c>
      <c r="DB113" s="20">
        <v>35500</v>
      </c>
      <c r="DC113" s="20">
        <v>79390.49332533298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/>
      <c r="DJ113" s="20">
        <v>14024.999870918691</v>
      </c>
      <c r="DK113" s="22">
        <v>0</v>
      </c>
      <c r="DL113" s="20">
        <v>112172.32214180731</v>
      </c>
      <c r="DM113" s="20">
        <v>50000</v>
      </c>
      <c r="DN113" s="20">
        <v>5602082.9772842098</v>
      </c>
      <c r="DO113" s="20">
        <f t="shared" si="52"/>
        <v>3563572.609743427</v>
      </c>
      <c r="DP113" s="21">
        <v>383850</v>
      </c>
      <c r="DQ113" s="20">
        <f t="shared" si="53"/>
        <v>42960</v>
      </c>
      <c r="DR113" s="20">
        <f t="shared" si="54"/>
        <v>17344.999870918691</v>
      </c>
      <c r="DS113" s="20">
        <f t="shared" si="44"/>
        <v>323545.00012908131</v>
      </c>
      <c r="DT113" s="23">
        <f t="shared" si="45"/>
        <v>0.84289436011223473</v>
      </c>
      <c r="DU113" s="20">
        <f t="shared" si="55"/>
        <v>3527762.2198261986</v>
      </c>
      <c r="DV113" s="20">
        <f t="shared" si="56"/>
        <v>821026.73256095999</v>
      </c>
      <c r="DW113" s="20">
        <f t="shared" si="57"/>
        <v>443565.08275524055</v>
      </c>
      <c r="DX113" s="20">
        <f t="shared" si="58"/>
        <v>201863.09999999998</v>
      </c>
      <c r="DY113" s="20">
        <f t="shared" si="59"/>
        <v>0</v>
      </c>
      <c r="DZ113" s="20">
        <f t="shared" si="60"/>
        <v>0</v>
      </c>
      <c r="EA113" s="20">
        <f t="shared" si="61"/>
        <v>112172.32214180731</v>
      </c>
      <c r="EB113" s="20">
        <f t="shared" si="62"/>
        <v>111843.51999999999</v>
      </c>
      <c r="EC113" s="20">
        <f t="shared" si="46"/>
        <v>323545.00012908131</v>
      </c>
      <c r="ED113" s="20">
        <f t="shared" si="47"/>
        <v>42960</v>
      </c>
      <c r="EE113" s="20">
        <f t="shared" si="47"/>
        <v>17344.999870918691</v>
      </c>
      <c r="EF113" s="20">
        <f t="shared" si="48"/>
        <v>383850</v>
      </c>
      <c r="EG113" s="23">
        <f t="shared" si="49"/>
        <v>0.84289436011223473</v>
      </c>
      <c r="EH113" s="20">
        <f t="shared" si="50"/>
        <v>5602082.9772842061</v>
      </c>
    </row>
    <row r="114" spans="1:138" x14ac:dyDescent="0.25">
      <c r="A114" s="18">
        <v>335</v>
      </c>
      <c r="B114" t="s">
        <v>255</v>
      </c>
      <c r="C114" t="s">
        <v>150</v>
      </c>
      <c r="D114">
        <v>5</v>
      </c>
      <c r="E114">
        <v>362</v>
      </c>
      <c r="F114" s="19">
        <f t="shared" si="43"/>
        <v>0.71546961325966851</v>
      </c>
      <c r="G114">
        <v>259</v>
      </c>
      <c r="H114" s="20">
        <v>191050.75104188372</v>
      </c>
      <c r="I114" s="20">
        <v>110891.27068881014</v>
      </c>
      <c r="J114" s="20">
        <v>45874.424764996482</v>
      </c>
      <c r="K114" s="20">
        <v>110891.27068881014</v>
      </c>
      <c r="L114" s="20">
        <v>0</v>
      </c>
      <c r="M114" s="20">
        <v>89505.059196611037</v>
      </c>
      <c r="N114" s="20">
        <v>59866.796146808359</v>
      </c>
      <c r="O114" s="20">
        <v>0</v>
      </c>
      <c r="P114" s="20">
        <v>0</v>
      </c>
      <c r="Q114" s="20">
        <v>0</v>
      </c>
      <c r="R114" s="20"/>
      <c r="S114" s="20">
        <v>77625.750694703253</v>
      </c>
      <c r="T114" s="20">
        <v>60676.224767295193</v>
      </c>
      <c r="U114" s="20">
        <v>99432.634749854755</v>
      </c>
      <c r="V114" s="20">
        <v>110891.27068881014</v>
      </c>
      <c r="W114" s="20">
        <v>110891.27068881014</v>
      </c>
      <c r="X114" s="20">
        <v>110891.27068881014</v>
      </c>
      <c r="Y114" s="20">
        <v>110891.27068881014</v>
      </c>
      <c r="Z114" s="20">
        <f>110891.27068881-AA114</f>
        <v>0</v>
      </c>
      <c r="AA114" s="20">
        <v>110891.27068880999</v>
      </c>
      <c r="AB114" s="20">
        <v>110891.27068881014</v>
      </c>
      <c r="AC114" s="20">
        <v>33411.157694564718</v>
      </c>
      <c r="AD114" s="20">
        <v>332673.8120664304</v>
      </c>
      <c r="AE114" s="20">
        <v>100233.47308369415</v>
      </c>
      <c r="AF114" s="20">
        <v>110891.27068881014</v>
      </c>
      <c r="AG114" s="20">
        <v>33411.157694564718</v>
      </c>
      <c r="AH114" s="20">
        <v>221782.54137762028</v>
      </c>
      <c r="AI114" s="20">
        <v>66822.315389129435</v>
      </c>
      <c r="AJ114" s="20">
        <v>110891.27068881014</v>
      </c>
      <c r="AK114" s="20">
        <v>221782.54137762028</v>
      </c>
      <c r="AL114" s="20">
        <v>110891.27068881014</v>
      </c>
      <c r="AM114" s="20">
        <v>221782.54137762028</v>
      </c>
      <c r="AN114" s="20">
        <v>110891.27068881014</v>
      </c>
      <c r="AO114" s="20">
        <v>177426.03310209623</v>
      </c>
      <c r="AP114" s="20">
        <v>166336.9060332152</v>
      </c>
      <c r="AQ114" s="20">
        <v>144158.65189545319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/>
      <c r="AX114" s="20">
        <v>0</v>
      </c>
      <c r="AY114" s="20">
        <v>110891.27068881014</v>
      </c>
      <c r="AZ114" s="20">
        <v>332673.8120664304</v>
      </c>
      <c r="BA114" s="20">
        <v>998021.43619929126</v>
      </c>
      <c r="BB114" s="20">
        <v>66822.315389129435</v>
      </c>
      <c r="BC114" s="20">
        <v>0</v>
      </c>
      <c r="BD114" s="20">
        <v>0</v>
      </c>
      <c r="BE114" s="20">
        <v>221782.54137762028</v>
      </c>
      <c r="BF114" s="20">
        <v>0</v>
      </c>
      <c r="BG114" s="20">
        <v>0</v>
      </c>
      <c r="BH114" s="21">
        <f>28640-7160</f>
        <v>21480</v>
      </c>
      <c r="BI114" s="21">
        <f>28640-21480</f>
        <v>7160</v>
      </c>
      <c r="BJ114" s="20"/>
      <c r="BK114" s="20">
        <v>0</v>
      </c>
      <c r="BL114" s="20"/>
      <c r="BM114" s="20">
        <v>39380</v>
      </c>
      <c r="BN114" s="20">
        <v>150439.72</v>
      </c>
      <c r="BO114" s="20">
        <v>2488.86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0">
        <v>0</v>
      </c>
      <c r="CJ114" s="20">
        <v>0</v>
      </c>
      <c r="CK114" s="20">
        <v>221782.54137762028</v>
      </c>
      <c r="CL114" s="20"/>
      <c r="CM114" s="20">
        <v>23000</v>
      </c>
      <c r="CN114" s="20">
        <v>5000</v>
      </c>
      <c r="CO114" s="20">
        <v>244045.91999999998</v>
      </c>
      <c r="CP114" s="20">
        <v>100000</v>
      </c>
      <c r="CQ114" s="20">
        <v>0</v>
      </c>
      <c r="CR114" s="20">
        <v>0</v>
      </c>
      <c r="CS114" s="20">
        <v>5180</v>
      </c>
      <c r="CT114" s="20">
        <v>72000</v>
      </c>
      <c r="CU114" s="20">
        <v>22536.44</v>
      </c>
      <c r="CV114" s="20">
        <v>0</v>
      </c>
      <c r="CW114" s="20"/>
      <c r="CX114" s="20">
        <v>0</v>
      </c>
      <c r="CY114" s="20">
        <v>0</v>
      </c>
      <c r="CZ114" s="20">
        <v>0</v>
      </c>
      <c r="DA114" s="20">
        <v>0</v>
      </c>
      <c r="DB114" s="20">
        <v>36200</v>
      </c>
      <c r="DC114" s="20">
        <v>93356.203198882431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/>
      <c r="DJ114" s="20">
        <v>24050.000881403685</v>
      </c>
      <c r="DK114" s="22">
        <v>0</v>
      </c>
      <c r="DL114" s="20">
        <v>0</v>
      </c>
      <c r="DM114" s="20">
        <v>0</v>
      </c>
      <c r="DN114" s="20">
        <v>6472839.0818990711</v>
      </c>
      <c r="DO114" s="20">
        <f t="shared" si="52"/>
        <v>3827797.3243957218</v>
      </c>
      <c r="DP114" s="21">
        <v>598898</v>
      </c>
      <c r="DQ114" s="20">
        <f t="shared" si="53"/>
        <v>28640</v>
      </c>
      <c r="DR114" s="20">
        <f t="shared" si="54"/>
        <v>212121.27157021366</v>
      </c>
      <c r="DS114" s="20">
        <f t="shared" si="44"/>
        <v>358136.72842978634</v>
      </c>
      <c r="DT114" s="23">
        <f t="shared" si="45"/>
        <v>0.59799286093756587</v>
      </c>
      <c r="DU114" s="20">
        <f t="shared" si="55"/>
        <v>3707395.2061777883</v>
      </c>
      <c r="DV114" s="20">
        <f t="shared" si="56"/>
        <v>1508408.8343436611</v>
      </c>
      <c r="DW114" s="20">
        <f t="shared" si="57"/>
        <v>221782.54137762028</v>
      </c>
      <c r="DX114" s="20">
        <f t="shared" si="58"/>
        <v>192308.58</v>
      </c>
      <c r="DY114" s="20">
        <f t="shared" si="59"/>
        <v>0</v>
      </c>
      <c r="DZ114" s="20">
        <f t="shared" si="60"/>
        <v>0</v>
      </c>
      <c r="EA114" s="20">
        <f t="shared" si="61"/>
        <v>0</v>
      </c>
      <c r="EB114" s="20">
        <f t="shared" si="62"/>
        <v>244045.91999999998</v>
      </c>
      <c r="EC114" s="20">
        <f t="shared" si="46"/>
        <v>358136.72842978634</v>
      </c>
      <c r="ED114" s="20">
        <f t="shared" si="47"/>
        <v>28640</v>
      </c>
      <c r="EE114" s="20">
        <f t="shared" si="47"/>
        <v>212121.27157021366</v>
      </c>
      <c r="EF114" s="20">
        <f t="shared" si="48"/>
        <v>598898</v>
      </c>
      <c r="EG114" s="23">
        <f t="shared" si="49"/>
        <v>0.59799286093756587</v>
      </c>
      <c r="EH114" s="20">
        <f t="shared" si="50"/>
        <v>6472839.0818990692</v>
      </c>
    </row>
    <row r="115" spans="1:138" x14ac:dyDescent="0.25">
      <c r="A115" s="18">
        <v>338</v>
      </c>
      <c r="B115" t="s">
        <v>256</v>
      </c>
      <c r="C115" t="s">
        <v>150</v>
      </c>
      <c r="D115">
        <v>4</v>
      </c>
      <c r="E115">
        <v>378</v>
      </c>
      <c r="F115" s="19">
        <f t="shared" si="43"/>
        <v>0.57936507936507942</v>
      </c>
      <c r="G115">
        <v>219</v>
      </c>
      <c r="H115" s="20">
        <v>191050.75104188372</v>
      </c>
      <c r="I115" s="20">
        <v>110891.27068881014</v>
      </c>
      <c r="J115" s="20">
        <v>152914.74921665495</v>
      </c>
      <c r="K115" s="20">
        <v>110891.27068881014</v>
      </c>
      <c r="L115" s="20">
        <v>0</v>
      </c>
      <c r="M115" s="20">
        <v>89505.059196611037</v>
      </c>
      <c r="N115" s="20">
        <v>59866.796146808359</v>
      </c>
      <c r="O115" s="20">
        <v>0</v>
      </c>
      <c r="P115" s="20">
        <v>0</v>
      </c>
      <c r="Q115" s="20">
        <v>0</v>
      </c>
      <c r="R115" s="20"/>
      <c r="S115" s="20">
        <v>77625.750694703253</v>
      </c>
      <c r="T115" s="20">
        <v>60676.224767295193</v>
      </c>
      <c r="U115" s="20">
        <v>99432.634749854755</v>
      </c>
      <c r="V115" s="20">
        <v>110891.27068881014</v>
      </c>
      <c r="W115" s="20">
        <v>110891.27068881014</v>
      </c>
      <c r="X115" s="20">
        <v>110891.27068881014</v>
      </c>
      <c r="Y115" s="20">
        <v>110891.27068881014</v>
      </c>
      <c r="Z115" s="20">
        <v>0</v>
      </c>
      <c r="AA115" s="20"/>
      <c r="AB115" s="20">
        <v>110891.27068881014</v>
      </c>
      <c r="AC115" s="20">
        <v>33411.157694564718</v>
      </c>
      <c r="AD115" s="20">
        <v>221782.54137762028</v>
      </c>
      <c r="AE115" s="20">
        <v>66822.315389129435</v>
      </c>
      <c r="AF115" s="20">
        <v>110891.27068881014</v>
      </c>
      <c r="AG115" s="20">
        <v>33411.157694564718</v>
      </c>
      <c r="AH115" s="20">
        <v>332673.8120664304</v>
      </c>
      <c r="AI115" s="20">
        <v>100233.47308369415</v>
      </c>
      <c r="AJ115" s="20">
        <v>221782.54137762028</v>
      </c>
      <c r="AK115" s="20">
        <v>221782.54137762028</v>
      </c>
      <c r="AL115" s="20">
        <v>221782.54137762028</v>
      </c>
      <c r="AM115" s="20">
        <v>221782.54137762028</v>
      </c>
      <c r="AN115" s="20">
        <v>221782.54137762028</v>
      </c>
      <c r="AO115" s="20">
        <v>0</v>
      </c>
      <c r="AP115" s="20">
        <v>0</v>
      </c>
      <c r="AQ115" s="20">
        <v>221782.54137762028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/>
      <c r="AX115" s="20">
        <v>0</v>
      </c>
      <c r="AY115" s="20">
        <v>110891.27068881014</v>
      </c>
      <c r="AZ115" s="20">
        <v>110891.27068881014</v>
      </c>
      <c r="BA115" s="20">
        <v>1108912.7068881013</v>
      </c>
      <c r="BB115" s="20">
        <v>300700.41925108247</v>
      </c>
      <c r="BC115" s="20">
        <v>0</v>
      </c>
      <c r="BD115" s="20">
        <v>114084.97559574516</v>
      </c>
      <c r="BE115" s="20">
        <v>665347.6241328608</v>
      </c>
      <c r="BF115" s="20">
        <v>0</v>
      </c>
      <c r="BG115" s="20">
        <v>110891.27068881014</v>
      </c>
      <c r="BH115" s="21">
        <f>42960-14320</f>
        <v>28640</v>
      </c>
      <c r="BI115" s="21">
        <f>42960-28640</f>
        <v>14320</v>
      </c>
      <c r="BJ115" s="20"/>
      <c r="BK115" s="20">
        <v>0</v>
      </c>
      <c r="BL115" s="20"/>
      <c r="BM115" s="20">
        <v>53700</v>
      </c>
      <c r="BN115" s="20">
        <v>112316.73</v>
      </c>
      <c r="BO115" s="20">
        <v>1813.14</v>
      </c>
      <c r="BP115" s="20">
        <v>0</v>
      </c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  <c r="CD115" s="20">
        <v>0</v>
      </c>
      <c r="CE115" s="20">
        <v>0</v>
      </c>
      <c r="CF115" s="20">
        <v>0</v>
      </c>
      <c r="CG115" s="20">
        <v>0</v>
      </c>
      <c r="CH115" s="20">
        <v>0</v>
      </c>
      <c r="CI115" s="20">
        <v>0</v>
      </c>
      <c r="CJ115" s="20">
        <v>0</v>
      </c>
      <c r="CK115" s="20">
        <v>221782.54137762028</v>
      </c>
      <c r="CL115" s="20"/>
      <c r="CM115" s="20">
        <v>23000</v>
      </c>
      <c r="CN115" s="20">
        <v>5000</v>
      </c>
      <c r="CO115" s="20">
        <v>55921.759999999995</v>
      </c>
      <c r="CP115" s="20">
        <v>100000</v>
      </c>
      <c r="CQ115" s="20">
        <v>0</v>
      </c>
      <c r="CR115" s="20">
        <v>0</v>
      </c>
      <c r="CS115" s="20">
        <v>4380</v>
      </c>
      <c r="CT115" s="20">
        <v>212400</v>
      </c>
      <c r="CU115" s="20">
        <v>21408.453846153847</v>
      </c>
      <c r="CV115" s="20">
        <v>0</v>
      </c>
      <c r="CW115" s="20"/>
      <c r="CX115" s="20">
        <v>0</v>
      </c>
      <c r="CY115" s="20">
        <v>0</v>
      </c>
      <c r="CZ115" s="20">
        <v>0</v>
      </c>
      <c r="DA115" s="20">
        <v>0</v>
      </c>
      <c r="DB115" s="20">
        <v>37800</v>
      </c>
      <c r="DC115" s="20">
        <v>109369.45605094651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/>
      <c r="DJ115" s="20">
        <v>6650.0001238659024</v>
      </c>
      <c r="DK115" s="22">
        <v>0</v>
      </c>
      <c r="DL115" s="20">
        <v>0</v>
      </c>
      <c r="DM115" s="20">
        <v>0</v>
      </c>
      <c r="DN115" s="20">
        <v>7267453.4562288243</v>
      </c>
      <c r="DO115" s="20">
        <f t="shared" si="52"/>
        <v>4017857.6779588852</v>
      </c>
      <c r="DP115" s="21">
        <v>506404</v>
      </c>
      <c r="DQ115" s="20">
        <f t="shared" si="53"/>
        <v>42960</v>
      </c>
      <c r="DR115" s="20">
        <f t="shared" si="54"/>
        <v>223430.0001238659</v>
      </c>
      <c r="DS115" s="20">
        <f t="shared" si="44"/>
        <v>240013.9998761341</v>
      </c>
      <c r="DT115" s="23">
        <f t="shared" si="45"/>
        <v>0.47395755143350782</v>
      </c>
      <c r="DU115" s="20">
        <f t="shared" si="55"/>
        <v>4015578.288294604</v>
      </c>
      <c r="DV115" s="20">
        <f t="shared" si="56"/>
        <v>1745480.6431125493</v>
      </c>
      <c r="DW115" s="20">
        <f t="shared" si="57"/>
        <v>776238.89482167095</v>
      </c>
      <c r="DX115" s="20">
        <f t="shared" si="58"/>
        <v>167829.87</v>
      </c>
      <c r="DY115" s="20">
        <f t="shared" si="59"/>
        <v>0</v>
      </c>
      <c r="DZ115" s="20">
        <f t="shared" si="60"/>
        <v>0</v>
      </c>
      <c r="EA115" s="20">
        <f t="shared" si="61"/>
        <v>0</v>
      </c>
      <c r="EB115" s="20">
        <f t="shared" si="62"/>
        <v>55921.759999999995</v>
      </c>
      <c r="EC115" s="20">
        <f t="shared" si="46"/>
        <v>240013.9998761341</v>
      </c>
      <c r="ED115" s="20">
        <f t="shared" si="47"/>
        <v>42960</v>
      </c>
      <c r="EE115" s="20">
        <f t="shared" si="47"/>
        <v>223430.0001238659</v>
      </c>
      <c r="EF115" s="20">
        <f t="shared" si="48"/>
        <v>506404</v>
      </c>
      <c r="EG115" s="23">
        <f t="shared" si="49"/>
        <v>0.47395755143350782</v>
      </c>
      <c r="EH115" s="20">
        <f t="shared" si="50"/>
        <v>7267453.4562288243</v>
      </c>
    </row>
    <row r="116" spans="1:138" x14ac:dyDescent="0.25">
      <c r="A116" s="18">
        <v>463</v>
      </c>
      <c r="B116" t="s">
        <v>257</v>
      </c>
      <c r="C116" t="s">
        <v>138</v>
      </c>
      <c r="D116">
        <v>3</v>
      </c>
      <c r="E116">
        <v>2015</v>
      </c>
      <c r="F116" s="19">
        <f t="shared" si="43"/>
        <v>0.31563275434243176</v>
      </c>
      <c r="G116">
        <v>636</v>
      </c>
      <c r="H116" s="20">
        <v>191050.75104188372</v>
      </c>
      <c r="I116" s="20">
        <v>110891.27068881014</v>
      </c>
      <c r="J116" s="20">
        <v>1024528.8197515882</v>
      </c>
      <c r="K116" s="20">
        <v>0</v>
      </c>
      <c r="L116" s="20">
        <v>1060450.3174421571</v>
      </c>
      <c r="M116" s="20">
        <v>89505.059196611037</v>
      </c>
      <c r="N116" s="20">
        <v>59866.796146808359</v>
      </c>
      <c r="O116" s="20">
        <v>224155.96939149837</v>
      </c>
      <c r="P116" s="20">
        <v>49534.351124581444</v>
      </c>
      <c r="Q116" s="20">
        <v>69924.031375330247</v>
      </c>
      <c r="R116" s="20"/>
      <c r="S116" s="20">
        <v>77625.750694703253</v>
      </c>
      <c r="T116" s="20">
        <v>60676.224767295193</v>
      </c>
      <c r="U116" s="20">
        <v>596595.80849912856</v>
      </c>
      <c r="V116" s="20">
        <v>110891.27068881014</v>
      </c>
      <c r="W116" s="20">
        <v>0</v>
      </c>
      <c r="X116" s="20">
        <v>0</v>
      </c>
      <c r="Y116" s="20">
        <v>0</v>
      </c>
      <c r="Z116" s="20">
        <v>0</v>
      </c>
      <c r="AA116" s="20"/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f t="shared" ref="AW116:AW117" si="63">E116/24*AW$120</f>
        <v>9310246.2682480179</v>
      </c>
      <c r="AX116" s="20">
        <f>10867344.5275034-AW116</f>
        <v>1557098.2592553813</v>
      </c>
      <c r="AY116" s="20">
        <v>221782.54137762028</v>
      </c>
      <c r="AZ116" s="20">
        <v>554456.35344405065</v>
      </c>
      <c r="BA116" s="20">
        <v>2550499.2258426333</v>
      </c>
      <c r="BB116" s="20">
        <v>267289.26155651774</v>
      </c>
      <c r="BC116" s="20">
        <v>0</v>
      </c>
      <c r="BD116" s="20">
        <v>114084.97559574516</v>
      </c>
      <c r="BE116" s="20">
        <v>942575.80085488618</v>
      </c>
      <c r="BF116" s="20">
        <v>0</v>
      </c>
      <c r="BG116" s="20">
        <v>110891.27068881014</v>
      </c>
      <c r="BH116" s="20">
        <v>0</v>
      </c>
      <c r="BI116" s="20">
        <v>0</v>
      </c>
      <c r="BJ116" s="20">
        <v>0</v>
      </c>
      <c r="BK116" s="20">
        <v>85000</v>
      </c>
      <c r="BL116" s="20"/>
      <c r="BM116" s="20">
        <v>0</v>
      </c>
      <c r="BN116" s="20">
        <v>0</v>
      </c>
      <c r="BO116" s="20">
        <v>0</v>
      </c>
      <c r="BP116" s="20">
        <v>46800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45000</v>
      </c>
      <c r="CB116" s="20">
        <v>0</v>
      </c>
      <c r="CC116" s="20">
        <v>0</v>
      </c>
      <c r="CD116" s="20">
        <v>0</v>
      </c>
      <c r="CE116" s="20">
        <v>221782.54137762028</v>
      </c>
      <c r="CF116" s="20">
        <v>0</v>
      </c>
      <c r="CG116" s="20">
        <v>140126.11598983698</v>
      </c>
      <c r="CH116" s="20">
        <v>114084.97559574516</v>
      </c>
      <c r="CI116" s="20">
        <v>0</v>
      </c>
      <c r="CJ116" s="20">
        <v>0</v>
      </c>
      <c r="CK116" s="20">
        <v>0</v>
      </c>
      <c r="CL116" s="20"/>
      <c r="CM116" s="20">
        <v>0</v>
      </c>
      <c r="CN116" s="20">
        <v>0</v>
      </c>
      <c r="CO116" s="20">
        <v>620294.24</v>
      </c>
      <c r="CP116" s="20">
        <v>0</v>
      </c>
      <c r="CQ116" s="20">
        <v>114084.97559574516</v>
      </c>
      <c r="CR116" s="20">
        <v>0</v>
      </c>
      <c r="CS116" s="20">
        <v>12720</v>
      </c>
      <c r="CT116" s="20">
        <v>0</v>
      </c>
      <c r="CU116" s="20">
        <v>259512.35347826086</v>
      </c>
      <c r="CV116" s="20">
        <v>114084.97559574516</v>
      </c>
      <c r="CW116" s="20"/>
      <c r="CX116" s="20">
        <v>0</v>
      </c>
      <c r="CY116" s="20">
        <v>0</v>
      </c>
      <c r="CZ116" s="20">
        <v>0</v>
      </c>
      <c r="DA116" s="20">
        <v>0</v>
      </c>
      <c r="DB116" s="20">
        <v>201500</v>
      </c>
      <c r="DC116" s="20">
        <v>315282.9242947161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/>
      <c r="DJ116" s="20">
        <v>38025.000021792948</v>
      </c>
      <c r="DK116" s="22">
        <v>0</v>
      </c>
      <c r="DL116" s="20">
        <v>0</v>
      </c>
      <c r="DM116" s="20">
        <v>0</v>
      </c>
      <c r="DN116" s="20">
        <v>21682918.479622327</v>
      </c>
      <c r="DO116" s="20">
        <f t="shared" si="52"/>
        <v>13413207.699842436</v>
      </c>
      <c r="DP116" s="21">
        <v>1470653</v>
      </c>
      <c r="DQ116" s="20">
        <f t="shared" si="53"/>
        <v>85000</v>
      </c>
      <c r="DR116" s="20">
        <f t="shared" si="54"/>
        <v>1976139.3264585016</v>
      </c>
      <c r="DS116" s="20">
        <f t="shared" si="44"/>
        <v>-590486.32645850163</v>
      </c>
      <c r="DT116" s="23">
        <f t="shared" si="45"/>
        <v>-0.40151301935840855</v>
      </c>
      <c r="DU116" s="20">
        <f t="shared" si="55"/>
        <v>14738591.810262065</v>
      </c>
      <c r="DV116" s="20">
        <f t="shared" si="56"/>
        <v>3708112.3578165672</v>
      </c>
      <c r="DW116" s="20">
        <f t="shared" si="57"/>
        <v>1053467.0715436963</v>
      </c>
      <c r="DX116" s="20">
        <f t="shared" si="58"/>
        <v>91800</v>
      </c>
      <c r="DY116" s="20">
        <f t="shared" si="59"/>
        <v>0</v>
      </c>
      <c r="DZ116" s="20">
        <f t="shared" si="60"/>
        <v>0</v>
      </c>
      <c r="EA116" s="20">
        <f t="shared" si="61"/>
        <v>0</v>
      </c>
      <c r="EB116" s="20">
        <f t="shared" si="62"/>
        <v>620294.24</v>
      </c>
      <c r="EC116" s="20">
        <f t="shared" si="46"/>
        <v>-590486.32645850163</v>
      </c>
      <c r="ED116" s="20">
        <f t="shared" si="47"/>
        <v>85000</v>
      </c>
      <c r="EE116" s="20">
        <f t="shared" si="47"/>
        <v>1976139.3264585016</v>
      </c>
      <c r="EF116" s="20">
        <f t="shared" si="48"/>
        <v>1470653</v>
      </c>
      <c r="EG116" s="23">
        <f t="shared" si="49"/>
        <v>-0.40151301935840855</v>
      </c>
      <c r="EH116" s="20">
        <f t="shared" si="50"/>
        <v>21682918.479622327</v>
      </c>
    </row>
    <row r="117" spans="1:138" x14ac:dyDescent="0.25">
      <c r="A117" s="18">
        <v>464</v>
      </c>
      <c r="B117" t="s">
        <v>258</v>
      </c>
      <c r="C117" t="s">
        <v>138</v>
      </c>
      <c r="D117">
        <v>7</v>
      </c>
      <c r="E117">
        <v>505</v>
      </c>
      <c r="F117" s="19">
        <f t="shared" si="43"/>
        <v>0.62178217821782178</v>
      </c>
      <c r="G117">
        <v>314</v>
      </c>
      <c r="H117" s="20">
        <v>191050.75104188372</v>
      </c>
      <c r="I117" s="20">
        <v>110891.27068881014</v>
      </c>
      <c r="J117" s="20">
        <v>259955.07366831342</v>
      </c>
      <c r="K117" s="20">
        <v>0</v>
      </c>
      <c r="L117" s="20">
        <v>311897.15218886972</v>
      </c>
      <c r="M117" s="20">
        <v>89505.059196611037</v>
      </c>
      <c r="N117" s="20">
        <v>59866.796146808359</v>
      </c>
      <c r="O117" s="20">
        <v>58280.552041789575</v>
      </c>
      <c r="P117" s="20">
        <v>49534.351124581444</v>
      </c>
      <c r="Q117" s="20">
        <v>69924.031375330247</v>
      </c>
      <c r="R117" s="20"/>
      <c r="S117" s="20">
        <v>77625.750694703253</v>
      </c>
      <c r="T117" s="20">
        <v>60676.224767295193</v>
      </c>
      <c r="U117" s="20">
        <v>248581.58687463688</v>
      </c>
      <c r="V117" s="20">
        <v>110891.27068881014</v>
      </c>
      <c r="W117" s="20">
        <v>0</v>
      </c>
      <c r="X117" s="20">
        <v>0</v>
      </c>
      <c r="Y117" s="20">
        <v>0</v>
      </c>
      <c r="Z117" s="20">
        <v>0</v>
      </c>
      <c r="AA117" s="20"/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f t="shared" si="63"/>
        <v>2333337.154077047</v>
      </c>
      <c r="AX117" s="20">
        <f>4087133.90098035-AW117</f>
        <v>1753796.7469033031</v>
      </c>
      <c r="AY117" s="20">
        <v>110891.27068881014</v>
      </c>
      <c r="AZ117" s="20">
        <v>443565.08275524055</v>
      </c>
      <c r="BA117" s="20">
        <v>1441586.5189545318</v>
      </c>
      <c r="BB117" s="20">
        <v>133644.63077825887</v>
      </c>
      <c r="BC117" s="20">
        <v>48327.936512970991</v>
      </c>
      <c r="BD117" s="20">
        <v>0</v>
      </c>
      <c r="BE117" s="20">
        <v>40324.098432294595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  <c r="BK117" s="20">
        <v>60000</v>
      </c>
      <c r="BL117" s="20"/>
      <c r="BM117" s="20">
        <v>0</v>
      </c>
      <c r="BN117" s="20">
        <v>199023.65</v>
      </c>
      <c r="BO117" s="20">
        <v>3292.62</v>
      </c>
      <c r="BP117" s="20">
        <v>0</v>
      </c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152914.74921665495</v>
      </c>
      <c r="BX117" s="20">
        <v>16239.78</v>
      </c>
      <c r="BY117" s="20">
        <v>18960</v>
      </c>
      <c r="BZ117" s="20">
        <v>0</v>
      </c>
      <c r="CA117" s="20">
        <v>270000</v>
      </c>
      <c r="CB117" s="20">
        <v>0</v>
      </c>
      <c r="CC117" s="20">
        <v>0</v>
      </c>
      <c r="CD117" s="20">
        <v>42000</v>
      </c>
      <c r="CE117" s="20">
        <v>221782.54137762028</v>
      </c>
      <c r="CF117" s="20">
        <v>0</v>
      </c>
      <c r="CG117" s="20">
        <v>420378.34796951094</v>
      </c>
      <c r="CH117" s="20">
        <v>228169.95119149031</v>
      </c>
      <c r="CI117" s="20">
        <v>0</v>
      </c>
      <c r="CJ117" s="20">
        <v>110891.27068881014</v>
      </c>
      <c r="CK117" s="20">
        <v>0</v>
      </c>
      <c r="CL117" s="20"/>
      <c r="CM117" s="20">
        <v>0</v>
      </c>
      <c r="CN117" s="20">
        <v>0</v>
      </c>
      <c r="CO117" s="20">
        <v>488091.83999999997</v>
      </c>
      <c r="CP117" s="20">
        <v>0</v>
      </c>
      <c r="CQ117" s="20">
        <v>114084.97559574516</v>
      </c>
      <c r="CR117" s="20">
        <v>75000</v>
      </c>
      <c r="CS117" s="20">
        <v>6280</v>
      </c>
      <c r="CT117" s="20">
        <v>0</v>
      </c>
      <c r="CU117" s="20">
        <v>65006.31</v>
      </c>
      <c r="CV117" s="20">
        <v>114084.97559574516</v>
      </c>
      <c r="CW117" s="20"/>
      <c r="CX117" s="20">
        <v>0</v>
      </c>
      <c r="CY117" s="20">
        <v>0</v>
      </c>
      <c r="CZ117" s="20">
        <v>5000</v>
      </c>
      <c r="DA117" s="20">
        <v>113945.66</v>
      </c>
      <c r="DB117" s="20">
        <v>50500</v>
      </c>
      <c r="DC117" s="20">
        <v>132491.2233568473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/>
      <c r="DJ117" s="20">
        <v>20800.000818446279</v>
      </c>
      <c r="DK117" s="22">
        <v>288399.09534440504</v>
      </c>
      <c r="DL117" s="20">
        <v>0</v>
      </c>
      <c r="DM117" s="20">
        <v>0</v>
      </c>
      <c r="DN117" s="20">
        <v>11221490.188369134</v>
      </c>
      <c r="DO117" s="20">
        <f t="shared" si="52"/>
        <v>4228998.512569068</v>
      </c>
      <c r="DP117" s="21">
        <v>726077</v>
      </c>
      <c r="DQ117" s="20">
        <f t="shared" si="53"/>
        <v>60000</v>
      </c>
      <c r="DR117" s="20">
        <f t="shared" si="54"/>
        <v>2773624.5516951513</v>
      </c>
      <c r="DS117" s="20">
        <f t="shared" si="44"/>
        <v>-2107547.5516951513</v>
      </c>
      <c r="DT117" s="23">
        <f t="shared" si="45"/>
        <v>-2.9026502033464099</v>
      </c>
      <c r="DU117" s="20">
        <f t="shared" si="55"/>
        <v>6953266.5572896646</v>
      </c>
      <c r="DV117" s="20">
        <f t="shared" si="56"/>
        <v>2178015.4396898118</v>
      </c>
      <c r="DW117" s="20">
        <f t="shared" si="57"/>
        <v>40324.098432294595</v>
      </c>
      <c r="DX117" s="20">
        <f t="shared" si="58"/>
        <v>835715.36534440506</v>
      </c>
      <c r="DY117" s="20">
        <f t="shared" si="59"/>
        <v>0</v>
      </c>
      <c r="DZ117" s="20">
        <f t="shared" si="60"/>
        <v>0</v>
      </c>
      <c r="EA117" s="20">
        <f t="shared" si="61"/>
        <v>0</v>
      </c>
      <c r="EB117" s="20">
        <f t="shared" si="62"/>
        <v>488091.83999999997</v>
      </c>
      <c r="EC117" s="20">
        <f t="shared" si="46"/>
        <v>-2107547.5516951513</v>
      </c>
      <c r="ED117" s="20">
        <f t="shared" si="47"/>
        <v>60000</v>
      </c>
      <c r="EE117" s="20">
        <f t="shared" si="47"/>
        <v>2773624.5516951513</v>
      </c>
      <c r="EF117" s="20">
        <f t="shared" si="48"/>
        <v>726077</v>
      </c>
      <c r="EG117" s="23">
        <f t="shared" si="49"/>
        <v>-2.9026502033464099</v>
      </c>
      <c r="EH117" s="20">
        <f t="shared" si="50"/>
        <v>11221490.300756177</v>
      </c>
    </row>
    <row r="118" spans="1:138" x14ac:dyDescent="0.25">
      <c r="A118" s="18">
        <v>861</v>
      </c>
      <c r="B118" t="s">
        <v>259</v>
      </c>
      <c r="C118" t="s">
        <v>184</v>
      </c>
      <c r="D118">
        <v>5</v>
      </c>
      <c r="E118">
        <v>35</v>
      </c>
      <c r="F118" s="19">
        <f t="shared" si="43"/>
        <v>0</v>
      </c>
      <c r="G118">
        <v>0</v>
      </c>
      <c r="H118" s="20">
        <v>191050.75104188372</v>
      </c>
      <c r="I118" s="20">
        <v>0</v>
      </c>
      <c r="J118" s="20">
        <v>0</v>
      </c>
      <c r="K118" s="20">
        <v>0</v>
      </c>
      <c r="L118" s="20">
        <v>124758.86087554789</v>
      </c>
      <c r="M118" s="20">
        <v>0</v>
      </c>
      <c r="N118" s="20">
        <v>59866.796146808359</v>
      </c>
      <c r="O118" s="20">
        <v>44831.193878299673</v>
      </c>
      <c r="P118" s="20">
        <v>0</v>
      </c>
      <c r="Q118" s="20">
        <v>0</v>
      </c>
      <c r="R118" s="20"/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55445.635344405069</v>
      </c>
      <c r="AA118" s="20"/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110891.27068881014</v>
      </c>
      <c r="AQ118" s="20">
        <v>110891.27068881014</v>
      </c>
      <c r="AR118" s="20">
        <v>110891.27068881014</v>
      </c>
      <c r="AS118" s="20">
        <v>110891.27068881014</v>
      </c>
      <c r="AT118" s="20">
        <v>110891.27068881014</v>
      </c>
      <c r="AU118" s="20">
        <v>0</v>
      </c>
      <c r="AV118" s="20">
        <v>0</v>
      </c>
      <c r="AW118" s="20"/>
      <c r="AX118" s="20">
        <v>0</v>
      </c>
      <c r="AY118" s="20">
        <v>55445.635344405069</v>
      </c>
      <c r="AZ118" s="20">
        <v>221782.54137762028</v>
      </c>
      <c r="BA118" s="20">
        <v>554456.35344405065</v>
      </c>
      <c r="BB118" s="20">
        <v>0</v>
      </c>
      <c r="BC118" s="20">
        <v>0</v>
      </c>
      <c r="BD118" s="20">
        <v>0</v>
      </c>
      <c r="BE118" s="20">
        <v>10081.024608073649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  <c r="BK118" s="20"/>
      <c r="BL118" s="20">
        <v>25000</v>
      </c>
      <c r="BM118" s="20">
        <v>0</v>
      </c>
      <c r="BN118" s="20">
        <v>0</v>
      </c>
      <c r="BO118" s="20">
        <v>0</v>
      </c>
      <c r="BP118" s="20">
        <v>875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</v>
      </c>
      <c r="CJ118" s="20">
        <v>0</v>
      </c>
      <c r="CK118" s="20">
        <v>0</v>
      </c>
      <c r="CL118" s="20"/>
      <c r="CM118" s="20">
        <v>0</v>
      </c>
      <c r="CN118" s="20">
        <v>0</v>
      </c>
      <c r="CO118" s="20">
        <v>0</v>
      </c>
      <c r="CP118" s="20">
        <v>0</v>
      </c>
      <c r="CQ118" s="20">
        <v>0</v>
      </c>
      <c r="CR118" s="20">
        <v>0</v>
      </c>
      <c r="CS118" s="20">
        <v>0</v>
      </c>
      <c r="CT118" s="20">
        <v>0</v>
      </c>
      <c r="CU118" s="20">
        <v>0</v>
      </c>
      <c r="CV118" s="20">
        <v>0</v>
      </c>
      <c r="CW118" s="20"/>
      <c r="CX118" s="20">
        <v>0</v>
      </c>
      <c r="CY118" s="20">
        <v>0</v>
      </c>
      <c r="CZ118" s="20">
        <v>0</v>
      </c>
      <c r="DA118" s="20">
        <v>0</v>
      </c>
      <c r="DB118" s="20">
        <v>3500</v>
      </c>
      <c r="DC118" s="20">
        <v>30142.019842632839</v>
      </c>
      <c r="DD118" s="20">
        <v>0</v>
      </c>
      <c r="DE118" s="20">
        <v>568307.83465222199</v>
      </c>
      <c r="DF118" s="20">
        <v>0</v>
      </c>
      <c r="DG118" s="20">
        <v>0</v>
      </c>
      <c r="DH118" s="20">
        <v>0</v>
      </c>
      <c r="DI118" s="20"/>
      <c r="DJ118" s="20">
        <v>0</v>
      </c>
      <c r="DK118" s="22">
        <v>0</v>
      </c>
      <c r="DL118" s="20">
        <v>0</v>
      </c>
      <c r="DM118" s="20">
        <v>50000</v>
      </c>
      <c r="DN118" s="20">
        <v>2550000</v>
      </c>
      <c r="DO118" s="20">
        <f t="shared" si="52"/>
        <v>1064051.6105736282</v>
      </c>
      <c r="DP118" s="21">
        <v>0</v>
      </c>
      <c r="DQ118" s="20">
        <f t="shared" si="53"/>
        <v>0</v>
      </c>
      <c r="DR118" s="20">
        <f t="shared" si="54"/>
        <v>0</v>
      </c>
      <c r="DS118" s="20">
        <f t="shared" si="44"/>
        <v>0</v>
      </c>
      <c r="DT118" s="24" t="s">
        <v>142</v>
      </c>
      <c r="DU118" s="20">
        <f t="shared" si="55"/>
        <v>1139051.6105736282</v>
      </c>
      <c r="DV118" s="20">
        <f t="shared" si="56"/>
        <v>831684.53016607603</v>
      </c>
      <c r="DW118" s="20">
        <f t="shared" si="57"/>
        <v>10081.024608073649</v>
      </c>
      <c r="DX118" s="20">
        <f t="shared" si="58"/>
        <v>875</v>
      </c>
      <c r="DY118" s="20">
        <f t="shared" si="59"/>
        <v>568307.83465222199</v>
      </c>
      <c r="DZ118" s="20">
        <f t="shared" si="60"/>
        <v>0</v>
      </c>
      <c r="EA118" s="20">
        <f t="shared" si="61"/>
        <v>0</v>
      </c>
      <c r="EB118" s="20">
        <f t="shared" si="62"/>
        <v>0</v>
      </c>
      <c r="EC118" s="20">
        <f t="shared" si="46"/>
        <v>0</v>
      </c>
      <c r="ED118" s="20">
        <f t="shared" si="47"/>
        <v>0</v>
      </c>
      <c r="EE118" s="20">
        <f t="shared" si="47"/>
        <v>0</v>
      </c>
      <c r="EF118" s="20">
        <f t="shared" si="48"/>
        <v>0</v>
      </c>
      <c r="EG118" s="24" t="s">
        <v>142</v>
      </c>
      <c r="EH118" s="20">
        <f t="shared" si="50"/>
        <v>2550000</v>
      </c>
    </row>
    <row r="119" spans="1:138" x14ac:dyDescent="0.25">
      <c r="E119" s="26">
        <f>SUM(E2:E118)</f>
        <v>53033</v>
      </c>
      <c r="F119" s="26"/>
      <c r="G119" s="26">
        <f>SUM(G2:G118)</f>
        <v>24146</v>
      </c>
      <c r="H119" s="17">
        <f>SUM(H2:H118)</f>
        <v>21588734.867732901</v>
      </c>
      <c r="I119" s="17">
        <f t="shared" ref="I119:BY119" si="64">SUM(I2:I118)</f>
        <v>12918833.035246357</v>
      </c>
      <c r="J119" s="17">
        <f t="shared" si="64"/>
        <v>21410103.753654577</v>
      </c>
      <c r="K119" s="17">
        <f t="shared" si="64"/>
        <v>3692679.3139373753</v>
      </c>
      <c r="L119" s="17">
        <f t="shared" si="64"/>
        <v>7111255.0699062319</v>
      </c>
      <c r="M119" s="17">
        <f t="shared" si="64"/>
        <v>9084763.5084560253</v>
      </c>
      <c r="N119" s="17">
        <f t="shared" si="64"/>
        <v>7004415.149176565</v>
      </c>
      <c r="O119" s="20">
        <v>44831.193878299673</v>
      </c>
      <c r="P119" s="17">
        <f t="shared" si="64"/>
        <v>990687.02249162854</v>
      </c>
      <c r="Q119" s="20">
        <v>69924.031375330247</v>
      </c>
      <c r="R119" s="17">
        <f t="shared" si="64"/>
        <v>139848.06275066049</v>
      </c>
      <c r="S119" s="17">
        <f t="shared" si="64"/>
        <v>8926961.3298908789</v>
      </c>
      <c r="T119" s="17">
        <f t="shared" si="64"/>
        <v>6977765.8482389674</v>
      </c>
      <c r="U119" s="17">
        <f t="shared" si="64"/>
        <v>16853831.59010037</v>
      </c>
      <c r="V119" s="17">
        <f t="shared" si="64"/>
        <v>11366355.245603021</v>
      </c>
      <c r="W119" s="17">
        <f t="shared" si="64"/>
        <v>8982192.9257936236</v>
      </c>
      <c r="X119" s="17">
        <f t="shared" si="64"/>
        <v>8982192.9257936236</v>
      </c>
      <c r="Y119" s="17">
        <f t="shared" si="64"/>
        <v>8982192.9257936236</v>
      </c>
      <c r="Z119" s="17">
        <f t="shared" si="64"/>
        <v>7152486.9594282517</v>
      </c>
      <c r="AA119" s="17">
        <f t="shared" si="64"/>
        <v>1552477.7896433414</v>
      </c>
      <c r="AB119" s="17">
        <f t="shared" si="64"/>
        <v>14526756.460234126</v>
      </c>
      <c r="AC119" s="17">
        <f t="shared" si="64"/>
        <v>4376861.6579879755</v>
      </c>
      <c r="AD119" s="17">
        <f t="shared" si="64"/>
        <v>9647540.5499264784</v>
      </c>
      <c r="AE119" s="17">
        <f t="shared" si="64"/>
        <v>3073826.5078999526</v>
      </c>
      <c r="AF119" s="17">
        <f t="shared" si="64"/>
        <v>17409929.498143185</v>
      </c>
      <c r="AG119" s="17">
        <f t="shared" si="64"/>
        <v>5245551.7580466587</v>
      </c>
      <c r="AH119" s="17">
        <f t="shared" si="64"/>
        <v>24728753.363604654</v>
      </c>
      <c r="AI119" s="17">
        <f t="shared" si="64"/>
        <v>7450688.1658879295</v>
      </c>
      <c r="AJ119" s="17">
        <f t="shared" si="64"/>
        <v>23176275.57396131</v>
      </c>
      <c r="AK119" s="17">
        <f t="shared" si="64"/>
        <v>22289145.408450838</v>
      </c>
      <c r="AL119" s="17">
        <f t="shared" si="64"/>
        <v>22510927.94982845</v>
      </c>
      <c r="AM119" s="17">
        <f t="shared" si="64"/>
        <v>21512906.513629168</v>
      </c>
      <c r="AN119" s="17">
        <f t="shared" si="64"/>
        <v>20293049.994674634</v>
      </c>
      <c r="AO119" s="17">
        <f t="shared" si="64"/>
        <v>15602401.785915587</v>
      </c>
      <c r="AP119" s="17">
        <f t="shared" si="64"/>
        <v>15757649.564879918</v>
      </c>
      <c r="AQ119" s="17">
        <f t="shared" si="64"/>
        <v>15380619.244537966</v>
      </c>
      <c r="AR119" s="17">
        <f t="shared" si="64"/>
        <v>5455850.5178894587</v>
      </c>
      <c r="AS119" s="17">
        <f t="shared" si="64"/>
        <v>5145354.9599607904</v>
      </c>
      <c r="AT119" s="17">
        <f t="shared" si="64"/>
        <v>4091887.888417094</v>
      </c>
      <c r="AU119" s="17">
        <f t="shared" si="64"/>
        <v>3537431.5349730435</v>
      </c>
      <c r="AV119" s="17">
        <f t="shared" si="64"/>
        <v>587723.73465069372</v>
      </c>
      <c r="AW119" s="17">
        <f t="shared" si="64"/>
        <v>41175887.001927331</v>
      </c>
      <c r="AX119" s="17">
        <f t="shared" si="64"/>
        <v>10959492.807714585</v>
      </c>
      <c r="AY119" s="17">
        <f t="shared" si="64"/>
        <v>12031702.869735885</v>
      </c>
      <c r="AZ119" s="17">
        <f t="shared" si="64"/>
        <v>24617862.092915818</v>
      </c>
      <c r="BA119" s="17">
        <f t="shared" si="64"/>
        <v>100134817.43199554</v>
      </c>
      <c r="BB119" s="17">
        <f t="shared" si="64"/>
        <v>14767731.700997608</v>
      </c>
      <c r="BC119" s="17">
        <f t="shared" si="64"/>
        <v>1691477.7779539847</v>
      </c>
      <c r="BD119" s="17">
        <f t="shared" si="64"/>
        <v>1369019.7071489422</v>
      </c>
      <c r="BE119" s="17">
        <f t="shared" si="64"/>
        <v>46861642.890630327</v>
      </c>
      <c r="BF119" s="17">
        <f t="shared" si="64"/>
        <v>501167.36541847081</v>
      </c>
      <c r="BG119" s="17">
        <f t="shared" si="64"/>
        <v>6944646.1844450077</v>
      </c>
      <c r="BH119" s="17">
        <f t="shared" si="64"/>
        <v>1496440</v>
      </c>
      <c r="BI119" s="17">
        <f t="shared" si="64"/>
        <v>1389040</v>
      </c>
      <c r="BJ119" s="17">
        <f t="shared" si="64"/>
        <v>300720</v>
      </c>
      <c r="BK119" s="17">
        <f t="shared" si="64"/>
        <v>800000</v>
      </c>
      <c r="BL119" s="17">
        <f t="shared" si="64"/>
        <v>260000</v>
      </c>
      <c r="BM119" s="17">
        <f t="shared" si="64"/>
        <v>2072820</v>
      </c>
      <c r="BN119" s="17">
        <f t="shared" si="64"/>
        <v>14118731.840000002</v>
      </c>
      <c r="BO119" s="17">
        <f t="shared" si="64"/>
        <v>232784.7099999999</v>
      </c>
      <c r="BP119" s="17">
        <f t="shared" si="64"/>
        <v>401400</v>
      </c>
      <c r="BQ119" s="17">
        <f t="shared" si="64"/>
        <v>798594.82917021611</v>
      </c>
      <c r="BR119" s="17">
        <f t="shared" si="64"/>
        <v>776238.89482167095</v>
      </c>
      <c r="BS119" s="17">
        <f t="shared" si="64"/>
        <v>1376232.7429498946</v>
      </c>
      <c r="BT119" s="17">
        <f t="shared" si="64"/>
        <v>332673.8120664304</v>
      </c>
      <c r="BU119" s="17">
        <f t="shared" si="64"/>
        <v>665347.6241328608</v>
      </c>
      <c r="BV119" s="17">
        <f t="shared" si="64"/>
        <v>0</v>
      </c>
      <c r="BW119" s="17">
        <f t="shared" si="64"/>
        <v>1376232.7429498946</v>
      </c>
      <c r="BX119" s="17">
        <f t="shared" si="64"/>
        <v>104478.02</v>
      </c>
      <c r="BY119" s="17">
        <f t="shared" si="64"/>
        <v>212320</v>
      </c>
      <c r="BZ119" s="17">
        <f t="shared" ref="BZ119:EF119" si="65">SUM(BZ2:BZ118)</f>
        <v>0</v>
      </c>
      <c r="CA119" s="17">
        <f t="shared" si="65"/>
        <v>656143.25</v>
      </c>
      <c r="CB119" s="17">
        <f t="shared" si="65"/>
        <v>221782.54137762028</v>
      </c>
      <c r="CC119" s="17">
        <f t="shared" si="65"/>
        <v>114084.97559574516</v>
      </c>
      <c r="CD119" s="17">
        <f t="shared" si="65"/>
        <v>440000</v>
      </c>
      <c r="CE119" s="17">
        <f t="shared" si="65"/>
        <v>2883173.0379090635</v>
      </c>
      <c r="CF119" s="17">
        <f t="shared" si="65"/>
        <v>0</v>
      </c>
      <c r="CG119" s="17">
        <f t="shared" si="65"/>
        <v>2242017.8558373917</v>
      </c>
      <c r="CH119" s="17">
        <f t="shared" si="65"/>
        <v>912679.80476596125</v>
      </c>
      <c r="CI119" s="17">
        <f t="shared" si="65"/>
        <v>110891.27068881014</v>
      </c>
      <c r="CJ119" s="17">
        <f t="shared" si="65"/>
        <v>665347.6241328608</v>
      </c>
      <c r="CK119" s="17">
        <f t="shared" si="65"/>
        <v>7651497.6775278924</v>
      </c>
      <c r="CL119" s="17">
        <f t="shared" si="65"/>
        <v>110891.27068881014</v>
      </c>
      <c r="CM119" s="17">
        <f t="shared" si="65"/>
        <v>667000</v>
      </c>
      <c r="CN119" s="17">
        <f t="shared" si="65"/>
        <v>145000</v>
      </c>
      <c r="CO119" s="17">
        <f t="shared" si="65"/>
        <v>19916998.339999985</v>
      </c>
      <c r="CP119" s="17">
        <f t="shared" si="65"/>
        <v>2900000</v>
      </c>
      <c r="CQ119" s="17">
        <f t="shared" si="65"/>
        <v>1711274.6339361779</v>
      </c>
      <c r="CR119" s="17">
        <f t="shared" si="65"/>
        <v>1125000</v>
      </c>
      <c r="CS119" s="17">
        <f t="shared" si="65"/>
        <v>571880</v>
      </c>
      <c r="CT119" s="17">
        <f t="shared" si="65"/>
        <v>3596640</v>
      </c>
      <c r="CU119" s="17">
        <f t="shared" si="65"/>
        <v>4099490.9616044173</v>
      </c>
      <c r="CV119" s="17">
        <f t="shared" si="65"/>
        <v>1369019.7071489422</v>
      </c>
      <c r="CW119" s="17">
        <f t="shared" si="65"/>
        <v>342254.92678723548</v>
      </c>
      <c r="CX119" s="17">
        <f t="shared" si="65"/>
        <v>450000</v>
      </c>
      <c r="CY119" s="17">
        <f t="shared" si="65"/>
        <v>228169.95119149031</v>
      </c>
      <c r="CZ119" s="17">
        <f t="shared" si="65"/>
        <v>30000</v>
      </c>
      <c r="DA119" s="17">
        <f t="shared" si="65"/>
        <v>683673.96000000008</v>
      </c>
      <c r="DB119" s="17">
        <f t="shared" si="65"/>
        <v>5303300</v>
      </c>
      <c r="DC119" s="17">
        <f t="shared" si="65"/>
        <v>11510000.989002716</v>
      </c>
      <c r="DD119" s="17">
        <f t="shared" si="65"/>
        <v>2302359.9357912336</v>
      </c>
      <c r="DE119" s="17">
        <f t="shared" si="65"/>
        <v>7112448.3347581821</v>
      </c>
      <c r="DF119" s="17">
        <f t="shared" si="65"/>
        <v>221744</v>
      </c>
      <c r="DG119" s="17">
        <f t="shared" si="65"/>
        <v>174714</v>
      </c>
      <c r="DH119" s="17">
        <f t="shared" si="65"/>
        <v>61311</v>
      </c>
      <c r="DI119" s="17">
        <f t="shared" si="65"/>
        <v>13199.999987706542</v>
      </c>
      <c r="DJ119" s="17">
        <f t="shared" si="65"/>
        <v>2476037.0036801444</v>
      </c>
      <c r="DK119" s="17">
        <f t="shared" si="65"/>
        <v>447152.42068881012</v>
      </c>
      <c r="DL119" s="17">
        <f t="shared" si="65"/>
        <v>1909298.9451454752</v>
      </c>
      <c r="DM119" s="17">
        <f t="shared" si="65"/>
        <v>3425000</v>
      </c>
      <c r="DN119" s="17">
        <f t="shared" si="65"/>
        <v>807892537.20163894</v>
      </c>
      <c r="DO119" s="17">
        <f t="shared" si="65"/>
        <v>474917296.22823304</v>
      </c>
      <c r="DP119" s="17">
        <v>55833945</v>
      </c>
      <c r="DQ119" s="17">
        <f t="shared" si="65"/>
        <v>3986200</v>
      </c>
      <c r="DR119" s="17">
        <f t="shared" si="65"/>
        <v>28885028.031991087</v>
      </c>
      <c r="DS119" s="17">
        <f t="shared" si="65"/>
        <v>22962716.968008913</v>
      </c>
      <c r="DT119" s="17">
        <f t="shared" si="65"/>
        <v>49.951593267442689</v>
      </c>
      <c r="DU119" s="17">
        <f t="shared" si="65"/>
        <v>492843387.21454543</v>
      </c>
      <c r="DV119" s="17">
        <f t="shared" si="65"/>
        <v>154612611.58074784</v>
      </c>
      <c r="DW119" s="17">
        <f t="shared" si="65"/>
        <v>54307456.44049383</v>
      </c>
      <c r="DX119" s="17">
        <f t="shared" si="65"/>
        <v>19054032.220688805</v>
      </c>
      <c r="DY119" s="17">
        <f t="shared" si="65"/>
        <v>7112448.3347581821</v>
      </c>
      <c r="DZ119" s="17">
        <f t="shared" si="65"/>
        <v>2302359.9357912336</v>
      </c>
      <c r="EA119" s="17">
        <f t="shared" si="65"/>
        <v>1909298.9451454752</v>
      </c>
      <c r="EB119" s="17">
        <f t="shared" si="65"/>
        <v>19916998.339999985</v>
      </c>
      <c r="EC119" s="17">
        <f t="shared" si="65"/>
        <v>22962716.968008913</v>
      </c>
      <c r="ED119" s="17">
        <f t="shared" si="65"/>
        <v>3986200</v>
      </c>
      <c r="EE119" s="17">
        <f t="shared" si="65"/>
        <v>28885028.031991087</v>
      </c>
      <c r="EF119" s="17">
        <f t="shared" si="65"/>
        <v>55833945</v>
      </c>
      <c r="EG119" s="17"/>
      <c r="EH119" s="17"/>
    </row>
    <row r="120" spans="1:138" x14ac:dyDescent="0.25">
      <c r="H120" s="20">
        <v>191050.75104188372</v>
      </c>
      <c r="I120" s="20">
        <v>110891.27068881014</v>
      </c>
      <c r="J120" s="20">
        <v>152914.74921665495</v>
      </c>
      <c r="K120" s="20">
        <v>110891.27068881014</v>
      </c>
      <c r="L120" s="20">
        <v>124758.86087554789</v>
      </c>
      <c r="M120" s="20">
        <v>89505.059196611037</v>
      </c>
      <c r="N120" s="20">
        <v>59866.796146808359</v>
      </c>
      <c r="O120" s="20">
        <v>44831.193878299673</v>
      </c>
      <c r="P120" s="20">
        <v>49534.351124581444</v>
      </c>
      <c r="Q120" s="21">
        <v>69924</v>
      </c>
      <c r="R120" s="20">
        <v>69924.031375330247</v>
      </c>
      <c r="S120" s="20">
        <v>77625.750694703253</v>
      </c>
      <c r="T120" s="20">
        <v>60676.224767295193</v>
      </c>
      <c r="U120" s="20">
        <v>49716.317374927377</v>
      </c>
      <c r="V120" s="20">
        <v>110891.27068881014</v>
      </c>
      <c r="W120" s="20">
        <v>110891.27068881014</v>
      </c>
      <c r="X120" s="20">
        <v>110891.27068881014</v>
      </c>
      <c r="Y120" s="20">
        <v>110891.27068881014</v>
      </c>
      <c r="Z120" s="20">
        <v>110891.27068881014</v>
      </c>
      <c r="AA120" s="20">
        <v>110891.27068881014</v>
      </c>
      <c r="AB120" s="20">
        <v>110891.27068881014</v>
      </c>
      <c r="AC120" s="20">
        <v>33411.157694564718</v>
      </c>
      <c r="AD120" s="20">
        <v>110891.27068881014</v>
      </c>
      <c r="AE120" s="20">
        <v>33411.157694564718</v>
      </c>
      <c r="AF120" s="20">
        <v>110891.27068881014</v>
      </c>
      <c r="AG120" s="20">
        <v>33411.157694564718</v>
      </c>
      <c r="AH120" s="20">
        <v>110891.27068881014</v>
      </c>
      <c r="AI120" s="20">
        <v>33411.157694564718</v>
      </c>
      <c r="AJ120" s="20">
        <v>110891.27068881014</v>
      </c>
      <c r="AK120" s="20">
        <v>110891.27068881014</v>
      </c>
      <c r="AL120" s="20">
        <v>110891.27068881014</v>
      </c>
      <c r="AM120" s="20">
        <v>110891.27068881014</v>
      </c>
      <c r="AN120" s="20">
        <v>110891.27068881014</v>
      </c>
      <c r="AO120" s="20">
        <v>110891.27068881014</v>
      </c>
      <c r="AP120" s="20">
        <v>110891.27068881014</v>
      </c>
      <c r="AQ120" s="20">
        <v>110891.27068881014</v>
      </c>
      <c r="AR120" s="20">
        <v>110891.27068881014</v>
      </c>
      <c r="AS120" s="20">
        <v>110891.27068881014</v>
      </c>
      <c r="AT120" s="20">
        <v>110891.27068881014</v>
      </c>
      <c r="AU120" s="20">
        <v>110891.27068881014</v>
      </c>
      <c r="AV120" s="20">
        <v>110891.27068881014</v>
      </c>
      <c r="AW120" s="20">
        <v>110891.27068881014</v>
      </c>
      <c r="AX120" s="20">
        <v>110891.27068881014</v>
      </c>
      <c r="AY120" s="20">
        <v>110891.27068881014</v>
      </c>
      <c r="AZ120" s="20">
        <v>110891.27068881014</v>
      </c>
      <c r="BA120" s="20">
        <v>110891.27068881014</v>
      </c>
      <c r="BB120" s="20">
        <v>33411.157694564718</v>
      </c>
      <c r="BC120" s="20">
        <v>48327.936512970991</v>
      </c>
      <c r="BD120" s="20">
        <v>114084.97559574516</v>
      </c>
      <c r="BE120" s="20">
        <v>110891.27068881014</v>
      </c>
      <c r="BF120" s="20">
        <v>33411.157694564718</v>
      </c>
      <c r="BG120" s="20">
        <v>110891.27068881014</v>
      </c>
      <c r="BH120" s="21">
        <v>7160</v>
      </c>
      <c r="BI120" s="21">
        <v>7160</v>
      </c>
      <c r="BJ120" s="21">
        <v>10740</v>
      </c>
      <c r="BQ120" s="20">
        <v>114084.97559574516</v>
      </c>
      <c r="BR120" s="20">
        <v>110891.27068881014</v>
      </c>
      <c r="BS120" s="20">
        <v>152914.74921665495</v>
      </c>
      <c r="BT120" s="20">
        <v>110891.27068881014</v>
      </c>
      <c r="BU120" s="20">
        <v>110891.27068881014</v>
      </c>
      <c r="BV120" s="20">
        <v>152914.74921665495</v>
      </c>
      <c r="BW120" s="20">
        <v>152914.74921665495</v>
      </c>
      <c r="BX120" s="21"/>
      <c r="CB120" s="20">
        <v>110891.27068881014</v>
      </c>
      <c r="CC120" s="20">
        <v>110891.27068881014</v>
      </c>
      <c r="CE120" s="20">
        <v>110891.27068881014</v>
      </c>
      <c r="CF120" s="20">
        <v>110891.27068881014</v>
      </c>
      <c r="CG120" s="20">
        <v>140126.11598983698</v>
      </c>
      <c r="CH120" s="20">
        <v>114084.97559574516</v>
      </c>
      <c r="CI120" s="20">
        <v>110891.27068881014</v>
      </c>
      <c r="CJ120" s="20">
        <v>110891.27068881014</v>
      </c>
      <c r="CK120" s="20">
        <v>110891.27068881014</v>
      </c>
      <c r="CL120" s="20">
        <v>110891.27068881014</v>
      </c>
      <c r="CQ120" s="20">
        <v>114084.97559574516</v>
      </c>
      <c r="CV120" s="20">
        <v>114084.97559574516</v>
      </c>
      <c r="CW120" s="20">
        <v>114084.97559574516</v>
      </c>
      <c r="CY120" s="20">
        <v>114084.97559574516</v>
      </c>
      <c r="CZ120" s="21"/>
      <c r="DH120" s="21">
        <v>61311</v>
      </c>
      <c r="DO120" s="23">
        <f>DO119/DN119</f>
        <v>0.58784711376743437</v>
      </c>
      <c r="DS120" s="23">
        <f>DS119/DP119</f>
        <v>0.41126803717718519</v>
      </c>
    </row>
    <row r="121" spans="1:138" x14ac:dyDescent="0.25">
      <c r="BG121" s="20">
        <f>BG87/3</f>
        <v>124758.86087554791</v>
      </c>
      <c r="BM121" s="17"/>
      <c r="DN121" s="17"/>
      <c r="DO121" t="s">
        <v>260</v>
      </c>
      <c r="DS121" t="s">
        <v>261</v>
      </c>
    </row>
    <row r="122" spans="1:138" x14ac:dyDescent="0.25">
      <c r="DS122" s="17"/>
    </row>
  </sheetData>
  <autoFilter ref="A1:EH121" xr:uid="{3350DAB2-664A-4F7F-BD16-F8EC5EE728EB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FE5B8-7660-40DA-86E8-2EBF5E7A466A}">
  <dimension ref="A1:DS125"/>
  <sheetViews>
    <sheetView zoomScale="80" zoomScaleNormal="80" workbookViewId="0">
      <pane xSplit="3" ySplit="1" topLeftCell="DG2" activePane="bottomRight" state="frozen"/>
      <selection activeCell="DP92" sqref="DP92"/>
      <selection pane="topRight" activeCell="DP92" sqref="DP92"/>
      <selection pane="bottomLeft" activeCell="DP92" sqref="DP92"/>
      <selection pane="bottomRight" activeCell="DP92" sqref="DP92"/>
    </sheetView>
  </sheetViews>
  <sheetFormatPr defaultRowHeight="15" x14ac:dyDescent="0.25"/>
  <cols>
    <col min="1" max="1" width="7.85546875" style="18" customWidth="1"/>
    <col min="2" max="2" width="27.140625" customWidth="1"/>
    <col min="3" max="4" width="6.5703125" customWidth="1"/>
    <col min="5" max="5" width="9.42578125" customWidth="1"/>
    <col min="6" max="6" width="7.7109375" customWidth="1"/>
    <col min="7" max="7" width="8.42578125" bestFit="1" customWidth="1"/>
    <col min="8" max="13" width="13.85546875" customWidth="1"/>
    <col min="14" max="14" width="15" customWidth="1"/>
    <col min="15" max="52" width="13.85546875" customWidth="1"/>
    <col min="53" max="53" width="15" customWidth="1"/>
    <col min="54" max="95" width="13.85546875" customWidth="1"/>
    <col min="96" max="96" width="14.42578125" customWidth="1"/>
    <col min="97" max="107" width="13.85546875" customWidth="1"/>
    <col min="108" max="108" width="14.140625" customWidth="1"/>
    <col min="109" max="114" width="13.85546875" customWidth="1"/>
    <col min="115" max="115" width="15.140625" customWidth="1"/>
    <col min="116" max="116" width="13.85546875" customWidth="1"/>
    <col min="117" max="117" width="12.5703125" bestFit="1" customWidth="1"/>
    <col min="118" max="118" width="15.42578125" customWidth="1"/>
    <col min="119" max="153" width="12.42578125" customWidth="1"/>
  </cols>
  <sheetData>
    <row r="1" spans="1:123" s="2" customFormat="1" ht="5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3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5" t="s">
        <v>56</v>
      </c>
      <c r="BF1" s="5" t="s">
        <v>57</v>
      </c>
      <c r="BG1" s="5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2" t="s">
        <v>63</v>
      </c>
      <c r="BM1" s="7" t="s">
        <v>262</v>
      </c>
      <c r="BN1" s="7" t="s">
        <v>65</v>
      </c>
      <c r="BO1" s="7" t="s">
        <v>66</v>
      </c>
      <c r="BP1" s="7" t="s">
        <v>67</v>
      </c>
      <c r="BQ1" s="8" t="s">
        <v>68</v>
      </c>
      <c r="BR1" s="8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263</v>
      </c>
      <c r="BX1" s="3" t="s">
        <v>75</v>
      </c>
      <c r="BY1" s="3" t="s">
        <v>264</v>
      </c>
      <c r="BZ1" s="3" t="s">
        <v>77</v>
      </c>
      <c r="CA1" s="7" t="s">
        <v>78</v>
      </c>
      <c r="CB1" s="3" t="s">
        <v>79</v>
      </c>
      <c r="CC1" s="3" t="s">
        <v>80</v>
      </c>
      <c r="CD1" s="3" t="s">
        <v>81</v>
      </c>
      <c r="CE1" s="2" t="s">
        <v>82</v>
      </c>
      <c r="CF1" s="2" t="s">
        <v>83</v>
      </c>
      <c r="CG1" s="3" t="s">
        <v>84</v>
      </c>
      <c r="CH1" s="3" t="s">
        <v>85</v>
      </c>
      <c r="CI1" s="3" t="s">
        <v>86</v>
      </c>
      <c r="CJ1" s="8" t="s">
        <v>87</v>
      </c>
      <c r="CK1" s="2" t="s">
        <v>88</v>
      </c>
      <c r="CL1" s="3" t="s">
        <v>89</v>
      </c>
      <c r="CM1" s="2" t="s">
        <v>90</v>
      </c>
      <c r="CN1" s="2" t="s">
        <v>91</v>
      </c>
      <c r="CO1" s="9" t="s">
        <v>92</v>
      </c>
      <c r="CP1" s="2" t="s">
        <v>93</v>
      </c>
      <c r="CQ1" s="2" t="s">
        <v>94</v>
      </c>
      <c r="CR1" s="10" t="s">
        <v>95</v>
      </c>
      <c r="CS1" s="3" t="s">
        <v>96</v>
      </c>
      <c r="CT1" s="3" t="s">
        <v>97</v>
      </c>
      <c r="CU1" s="2" t="s">
        <v>98</v>
      </c>
      <c r="CV1" s="3" t="s">
        <v>99</v>
      </c>
      <c r="CW1" s="2" t="s">
        <v>100</v>
      </c>
      <c r="CX1" s="2" t="s">
        <v>101</v>
      </c>
      <c r="CY1" s="8" t="s">
        <v>102</v>
      </c>
      <c r="CZ1" s="8" t="s">
        <v>103</v>
      </c>
      <c r="DA1" s="8" t="s">
        <v>104</v>
      </c>
      <c r="DB1" s="2" t="s">
        <v>105</v>
      </c>
      <c r="DC1" s="2" t="s">
        <v>106</v>
      </c>
      <c r="DD1" s="8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2" t="s">
        <v>112</v>
      </c>
      <c r="DJ1" s="3" t="s">
        <v>113</v>
      </c>
      <c r="DK1" s="10" t="s">
        <v>114</v>
      </c>
      <c r="DL1" s="13" t="s">
        <v>115</v>
      </c>
      <c r="DM1" s="12" t="s">
        <v>265</v>
      </c>
      <c r="DN1" s="2" t="s">
        <v>117</v>
      </c>
      <c r="DO1" s="2" t="s">
        <v>266</v>
      </c>
      <c r="DP1" s="2" t="s">
        <v>267</v>
      </c>
      <c r="DQ1" s="2" t="s">
        <v>268</v>
      </c>
      <c r="DR1" s="2" t="s">
        <v>269</v>
      </c>
      <c r="DS1" s="2" t="s">
        <v>270</v>
      </c>
    </row>
    <row r="2" spans="1:123" x14ac:dyDescent="0.25">
      <c r="A2" s="18">
        <v>202</v>
      </c>
      <c r="B2" t="s">
        <v>134</v>
      </c>
      <c r="C2" t="s">
        <v>135</v>
      </c>
      <c r="D2">
        <v>7</v>
      </c>
      <c r="E2">
        <v>222</v>
      </c>
      <c r="F2" s="19">
        <f>G2/E2</f>
        <v>0.92342342342342343</v>
      </c>
      <c r="G2">
        <v>205</v>
      </c>
      <c r="H2" s="28">
        <f>'FY21 Final Initial $$'!H2/'FY21 FTE'!H$120</f>
        <v>1.0000000000000016</v>
      </c>
      <c r="I2" s="28">
        <f>'FY21 Final Initial $$'!I2/'FY21 FTE'!I$120</f>
        <v>1</v>
      </c>
      <c r="J2" s="28">
        <f>'FY21 Final Initial $$'!J2/'FY21 FTE'!J$120</f>
        <v>0</v>
      </c>
      <c r="K2" s="28">
        <f>'FY21 Final Initial $$'!K2/'FY21 FTE'!K$120</f>
        <v>0</v>
      </c>
      <c r="L2" s="28">
        <f>'FY21 Final Initial $$'!L2/'FY21 FTE'!L$120</f>
        <v>0</v>
      </c>
      <c r="M2" s="28">
        <f>'FY21 Final Initial $$'!M2/'FY21 FTE'!M$120</f>
        <v>0.5</v>
      </c>
      <c r="N2" s="28">
        <f>'FY21 Final Initial $$'!N2/'FY21 FTE'!N$120</f>
        <v>1</v>
      </c>
      <c r="O2" s="28">
        <f>'FY21 Final Initial $$'!O2/'FY21 FTE'!O$120</f>
        <v>0</v>
      </c>
      <c r="P2" s="28">
        <f>'FY21 Final Initial $$'!P2/'FY21 FTE'!P$120</f>
        <v>0</v>
      </c>
      <c r="Q2" s="28">
        <f>'FY21 Final Initial $$'!Q2/'FY21 FTE'!Q$120</f>
        <v>0</v>
      </c>
      <c r="R2" s="28">
        <f>'FY21 Final Initial $$'!R2/'FY21 FTE'!R$120</f>
        <v>0</v>
      </c>
      <c r="S2" s="28">
        <f>'FY21 Final Initial $$'!S2/'FY21 FTE'!S$120</f>
        <v>1</v>
      </c>
      <c r="T2" s="28">
        <f>'FY21 Final Initial $$'!T2/'FY21 FTE'!T$120</f>
        <v>1</v>
      </c>
      <c r="U2" s="28">
        <f>'FY21 Final Initial $$'!U2/'FY21 FTE'!U$120</f>
        <v>1</v>
      </c>
      <c r="V2" s="28">
        <f>'FY21 Final Initial $$'!V2/'FY21 FTE'!V$120</f>
        <v>0.5</v>
      </c>
      <c r="W2" s="28">
        <f>'FY21 Final Initial $$'!W2/'FY21 FTE'!W$120</f>
        <v>1</v>
      </c>
      <c r="X2" s="28">
        <f>'FY21 Final Initial $$'!X2/'FY21 FTE'!X$120</f>
        <v>1</v>
      </c>
      <c r="Y2" s="28">
        <f>'FY21 Final Initial $$'!Y2/'FY21 FTE'!Y$120</f>
        <v>1</v>
      </c>
      <c r="Z2" s="28">
        <f>'FY21 Final Initial $$'!Z2/'FY21 FTE'!Z$120</f>
        <v>0</v>
      </c>
      <c r="AA2" s="28">
        <f>'FY21 Final Initial $$'!AA2/'FY21 FTE'!AA$120</f>
        <v>0</v>
      </c>
      <c r="AB2" s="28">
        <f>'FY21 Final Initial $$'!AB2/'FY21 FTE'!AB$120</f>
        <v>2</v>
      </c>
      <c r="AC2" s="28">
        <f>'FY21 Final Initial $$'!AC2/'FY21 FTE'!AC$120</f>
        <v>2</v>
      </c>
      <c r="AD2" s="28">
        <f>'FY21 Final Initial $$'!AD2/'FY21 FTE'!AD$120</f>
        <v>1</v>
      </c>
      <c r="AE2" s="28">
        <f>'FY21 Final Initial $$'!AE2/'FY21 FTE'!AE$120</f>
        <v>1</v>
      </c>
      <c r="AF2" s="28">
        <f>'FY21 Final Initial $$'!AF2/'FY21 FTE'!AF$120</f>
        <v>2</v>
      </c>
      <c r="AG2" s="28">
        <f>'FY21 Final Initial $$'!AG2/'FY21 FTE'!AG$120</f>
        <v>2</v>
      </c>
      <c r="AH2" s="28">
        <f>'FY21 Final Initial $$'!AH2/'FY21 FTE'!AH$120</f>
        <v>2</v>
      </c>
      <c r="AI2" s="28">
        <f>'FY21 Final Initial $$'!AI2/'FY21 FTE'!AI$120</f>
        <v>1.9999999999999991</v>
      </c>
      <c r="AJ2" s="28">
        <f>'FY21 Final Initial $$'!AJ2/'FY21 FTE'!AJ$120</f>
        <v>1</v>
      </c>
      <c r="AK2" s="28">
        <f>'FY21 Final Initial $$'!AK2/'FY21 FTE'!AK$120</f>
        <v>2</v>
      </c>
      <c r="AL2" s="28">
        <f>'FY21 Final Initial $$'!AL2/'FY21 FTE'!AL$120</f>
        <v>1</v>
      </c>
      <c r="AM2" s="28">
        <f>'FY21 Final Initial $$'!AM2/'FY21 FTE'!AM$120</f>
        <v>1</v>
      </c>
      <c r="AN2" s="28">
        <f>'FY21 Final Initial $$'!AN2/'FY21 FTE'!AN$120</f>
        <v>1.0000000000000013</v>
      </c>
      <c r="AO2" s="28">
        <f>'FY21 Final Initial $$'!AO2/'FY21 FTE'!AO$120</f>
        <v>0</v>
      </c>
      <c r="AP2" s="28">
        <f>'FY21 Final Initial $$'!AP2/'FY21 FTE'!AP$120</f>
        <v>0</v>
      </c>
      <c r="AQ2" s="28">
        <f>'FY21 Final Initial $$'!AQ2/'FY21 FTE'!AQ$120</f>
        <v>0</v>
      </c>
      <c r="AR2" s="28">
        <f>'FY21 Final Initial $$'!AR2/'FY21 FTE'!AR$120</f>
        <v>0</v>
      </c>
      <c r="AS2" s="28">
        <f>'FY21 Final Initial $$'!AS2/'FY21 FTE'!AS$120</f>
        <v>0</v>
      </c>
      <c r="AT2" s="28">
        <f>'FY21 Final Initial $$'!AT2/'FY21 FTE'!AT$120</f>
        <v>0</v>
      </c>
      <c r="AU2" s="28">
        <f>'FY21 Final Initial $$'!AU2/'FY21 FTE'!AU$120</f>
        <v>0</v>
      </c>
      <c r="AV2" s="28">
        <f>'FY21 Final Initial $$'!AV2/'FY21 FTE'!AV$120</f>
        <v>0</v>
      </c>
      <c r="AW2" s="28">
        <f>'FY21 Final Initial $$'!AW2/'FY21 FTE'!AW$120</f>
        <v>0</v>
      </c>
      <c r="AX2" s="28">
        <f>'FY21 Final Initial $$'!AX2/'FY21 FTE'!AX$120</f>
        <v>0</v>
      </c>
      <c r="AY2" s="28">
        <f>'FY21 Final Initial $$'!AY2/'FY21 FTE'!AY$120</f>
        <v>0.5</v>
      </c>
      <c r="AZ2" s="28">
        <f>'FY21 Final Initial $$'!AZ2/'FY21 FTE'!AZ$120</f>
        <v>1</v>
      </c>
      <c r="BA2" s="28">
        <f>'FY21 Final Initial $$'!BA2/'FY21 FTE'!BA$120</f>
        <v>6</v>
      </c>
      <c r="BB2" s="28">
        <f>'FY21 Final Initial $$'!BB2/'FY21 FTE'!BB$120</f>
        <v>4</v>
      </c>
      <c r="BC2" s="28">
        <f>'FY21 Final Initial $$'!BC2/'FY21 FTE'!BC$120</f>
        <v>0</v>
      </c>
      <c r="BD2" s="28">
        <f>'FY21 Final Initial $$'!BD2/'FY21 FTE'!BD$120</f>
        <v>0</v>
      </c>
      <c r="BE2" s="28">
        <f>'FY21 Final Initial $$'!BE2/'FY21 FTE'!BE$120</f>
        <v>0.18181818181818182</v>
      </c>
      <c r="BF2" s="28">
        <f>'FY21 Final Initial $$'!BF2/'FY21 FTE'!BF$120</f>
        <v>0</v>
      </c>
      <c r="BG2" s="28">
        <f>'FY21 Final Initial $$'!BG2/'FY21 FTE'!BG$120</f>
        <v>0</v>
      </c>
      <c r="BH2" s="28">
        <f>'FY21 Final Initial $$'!BH2/'FY21 FTE'!BH$120</f>
        <v>2</v>
      </c>
      <c r="BI2" s="28">
        <f>'FY21 Final Initial $$'!BI2/'FY21 FTE'!BI$120</f>
        <v>2</v>
      </c>
      <c r="BJ2" s="28">
        <f>'FY21 Final Initial $$'!BJ2/'FY21 FTE'!BJ$120</f>
        <v>1</v>
      </c>
      <c r="BK2" s="20">
        <v>0</v>
      </c>
      <c r="BL2" s="20"/>
      <c r="BM2" s="20"/>
      <c r="BN2" s="20">
        <v>95036.99</v>
      </c>
      <c r="BO2" s="20">
        <v>1572.28</v>
      </c>
      <c r="BP2" s="20">
        <v>0</v>
      </c>
      <c r="BQ2" s="28">
        <f>'FY21 Final Initial $$'!BQ2/'FY21 FTE'!BQ$120</f>
        <v>0</v>
      </c>
      <c r="BR2" s="28">
        <f>'FY21 Final Initial $$'!BR2/'FY21 FTE'!BR$120</f>
        <v>0</v>
      </c>
      <c r="BS2" s="28">
        <f>'FY21 Final Initial $$'!BS2/'FY21 FTE'!BS$120</f>
        <v>0</v>
      </c>
      <c r="BT2" s="28">
        <f>'FY21 Final Initial $$'!BT2/'FY21 FTE'!BT$120</f>
        <v>0</v>
      </c>
      <c r="BU2" s="28">
        <f>'FY21 Final Initial $$'!BU2/'FY21 FTE'!BU$120</f>
        <v>0</v>
      </c>
      <c r="BV2" s="28">
        <f>'FY21 Final Initial $$'!BV2/'FY21 FTE'!BV$120</f>
        <v>0</v>
      </c>
      <c r="BW2" s="28">
        <f>'FY21 Final Initial $$'!BW2/'FY21 FTE'!BW$120</f>
        <v>0</v>
      </c>
      <c r="BX2" s="20">
        <v>0</v>
      </c>
      <c r="BY2" s="20">
        <v>0</v>
      </c>
      <c r="BZ2" s="20">
        <v>0</v>
      </c>
      <c r="CA2" s="20">
        <v>0</v>
      </c>
      <c r="CB2" s="28">
        <f>'FY21 Final Initial $$'!CB2/'FY21 FTE'!CB$120</f>
        <v>0</v>
      </c>
      <c r="CC2" s="28">
        <f>'FY21 Final Initial $$'!CC2/'FY21 FTE'!CC$120</f>
        <v>0</v>
      </c>
      <c r="CD2" s="20">
        <v>0</v>
      </c>
      <c r="CE2" s="28">
        <f>'FY21 Final Initial $$'!CE2/'FY21 FTE'!CE$120</f>
        <v>0</v>
      </c>
      <c r="CF2" s="28">
        <f>'FY21 Final Initial $$'!CF2/'FY21 FTE'!CF$120</f>
        <v>0</v>
      </c>
      <c r="CG2" s="28">
        <f>'FY21 Final Initial $$'!CG2/'FY21 FTE'!CG$120</f>
        <v>0</v>
      </c>
      <c r="CH2" s="28">
        <f>'FY21 Final Initial $$'!CH2/'FY21 FTE'!CH$120</f>
        <v>0</v>
      </c>
      <c r="CI2" s="28">
        <f>'FY21 Final Initial $$'!CI2/'FY21 FTE'!CI$120</f>
        <v>0</v>
      </c>
      <c r="CJ2" s="28">
        <f>'FY21 Final Initial $$'!CJ2/'FY21 FTE'!CJ$120</f>
        <v>0</v>
      </c>
      <c r="CK2" s="28">
        <f>'FY21 Final Initial $$'!CK2/'FY21 FTE'!CK$120</f>
        <v>0</v>
      </c>
      <c r="CL2" s="28">
        <f>'FY21 Final Initial $$'!CL2/'FY21 FTE'!CL$120</f>
        <v>0</v>
      </c>
      <c r="CM2" s="20">
        <v>0</v>
      </c>
      <c r="CN2" s="20">
        <v>0</v>
      </c>
      <c r="CO2" s="20">
        <v>55921.759999999995</v>
      </c>
      <c r="CP2" s="20">
        <v>0</v>
      </c>
      <c r="CQ2" s="28">
        <f>'FY21 Final Initial $$'!CQ2/'FY21 FTE'!CQ$120</f>
        <v>0</v>
      </c>
      <c r="CR2" s="20">
        <v>75000</v>
      </c>
      <c r="CS2" s="20">
        <v>8200</v>
      </c>
      <c r="CT2" s="20">
        <v>0</v>
      </c>
      <c r="CU2" s="20">
        <v>13194.421172022685</v>
      </c>
      <c r="CV2" s="28">
        <f>'FY21 Final Initial $$'!CV2/'FY21 FTE'!CV$120</f>
        <v>0</v>
      </c>
      <c r="CW2" s="28">
        <f>'FY21 Final Initial $$'!CW2/'FY21 FTE'!CW$120</f>
        <v>0</v>
      </c>
      <c r="CX2" s="20">
        <v>0</v>
      </c>
      <c r="CY2" s="28">
        <f>'FY21 Final Initial $$'!CY2/'FY21 FTE'!CY$120</f>
        <v>0</v>
      </c>
      <c r="CZ2" s="20">
        <v>0</v>
      </c>
      <c r="DA2" s="20">
        <v>0</v>
      </c>
      <c r="DB2" s="20">
        <v>22200</v>
      </c>
      <c r="DC2" s="20">
        <v>58662.844223278633</v>
      </c>
      <c r="DD2" s="20">
        <v>0</v>
      </c>
      <c r="DE2" s="20">
        <v>0</v>
      </c>
      <c r="DF2" s="20">
        <v>13859</v>
      </c>
      <c r="DG2" s="20">
        <v>0</v>
      </c>
      <c r="DH2" s="28">
        <f>'FY21 Final Initial $$'!DH2/'FY21 FTE'!DH$120</f>
        <v>0</v>
      </c>
      <c r="DI2" s="20"/>
      <c r="DJ2" s="20">
        <v>12650.000106543303</v>
      </c>
      <c r="DK2" s="22">
        <v>0</v>
      </c>
      <c r="DL2" s="20">
        <v>0</v>
      </c>
      <c r="DM2" s="20">
        <v>0</v>
      </c>
      <c r="DN2" s="20">
        <v>4053652.2162023801</v>
      </c>
      <c r="DO2" s="29">
        <f>SUM(AB2,AD2,AF2,AH2)</f>
        <v>7</v>
      </c>
      <c r="DP2" s="29">
        <f>SUM(AC2,AE2,AG2,AI2)</f>
        <v>6.9999999999999991</v>
      </c>
      <c r="DQ2" s="29">
        <f>SUM(AJ2:AX2)</f>
        <v>6.0000000000000018</v>
      </c>
      <c r="DR2" s="29">
        <f>SUM(AY2:BA2,BE2,BG2)</f>
        <v>7.6818181818181817</v>
      </c>
      <c r="DS2" s="29">
        <f>SUM(BB2,BF2)</f>
        <v>4</v>
      </c>
    </row>
    <row r="3" spans="1:123" x14ac:dyDescent="0.25">
      <c r="A3" s="18">
        <v>203</v>
      </c>
      <c r="B3" t="s">
        <v>136</v>
      </c>
      <c r="C3" t="s">
        <v>135</v>
      </c>
      <c r="D3">
        <v>6</v>
      </c>
      <c r="E3">
        <v>335</v>
      </c>
      <c r="F3" s="19">
        <f t="shared" ref="F3:F66" si="0">G3/E3</f>
        <v>0.68955223880597016</v>
      </c>
      <c r="G3">
        <v>231</v>
      </c>
      <c r="H3" s="28">
        <f>'FY21 Final Initial $$'!H3/'FY21 FTE'!H$120</f>
        <v>1</v>
      </c>
      <c r="I3" s="28">
        <f>'FY21 Final Initial $$'!I3/'FY21 FTE'!I$120</f>
        <v>1</v>
      </c>
      <c r="J3" s="28">
        <f>'FY21 Final Initial $$'!J3/'FY21 FTE'!J$120</f>
        <v>0.8</v>
      </c>
      <c r="K3" s="28">
        <f>'FY21 Final Initial $$'!K3/'FY21 FTE'!K$120</f>
        <v>0</v>
      </c>
      <c r="L3" s="28">
        <f>'FY21 Final Initial $$'!L3/'FY21 FTE'!L$120</f>
        <v>0</v>
      </c>
      <c r="M3" s="28">
        <f>'FY21 Final Initial $$'!M3/'FY21 FTE'!M$120</f>
        <v>1</v>
      </c>
      <c r="N3" s="28">
        <f>'FY21 Final Initial $$'!N3/'FY21 FTE'!N$120</f>
        <v>1</v>
      </c>
      <c r="O3" s="28">
        <f>'FY21 Final Initial $$'!O3/'FY21 FTE'!O$120</f>
        <v>0</v>
      </c>
      <c r="P3" s="28">
        <f>'FY21 Final Initial $$'!P3/'FY21 FTE'!P$120</f>
        <v>0</v>
      </c>
      <c r="Q3" s="28">
        <f>'FY21 Final Initial $$'!Q3/'FY21 FTE'!Q$120</f>
        <v>0</v>
      </c>
      <c r="R3" s="28">
        <f>'FY21 Final Initial $$'!R3/'FY21 FTE'!R$120</f>
        <v>0</v>
      </c>
      <c r="S3" s="28">
        <f>'FY21 Final Initial $$'!S3/'FY21 FTE'!S$120</f>
        <v>1</v>
      </c>
      <c r="T3" s="28">
        <f>'FY21 Final Initial $$'!T3/'FY21 FTE'!T$120</f>
        <v>1</v>
      </c>
      <c r="U3" s="28">
        <f>'FY21 Final Initial $$'!U3/'FY21 FTE'!U$120</f>
        <v>2</v>
      </c>
      <c r="V3" s="28">
        <f>'FY21 Final Initial $$'!V3/'FY21 FTE'!V$120</f>
        <v>1</v>
      </c>
      <c r="W3" s="28">
        <f>'FY21 Final Initial $$'!W3/'FY21 FTE'!W$120</f>
        <v>1</v>
      </c>
      <c r="X3" s="28">
        <f>'FY21 Final Initial $$'!X3/'FY21 FTE'!X$120</f>
        <v>1</v>
      </c>
      <c r="Y3" s="28">
        <f>'FY21 Final Initial $$'!Y3/'FY21 FTE'!Y$120</f>
        <v>1</v>
      </c>
      <c r="Z3" s="28">
        <f>'FY21 Final Initial $$'!Z3/'FY21 FTE'!Z$120</f>
        <v>0</v>
      </c>
      <c r="AA3" s="28">
        <f>'FY21 Final Initial $$'!AA3/'FY21 FTE'!AA$120</f>
        <v>0</v>
      </c>
      <c r="AB3" s="28">
        <f>'FY21 Final Initial $$'!AB3/'FY21 FTE'!AB$120</f>
        <v>1</v>
      </c>
      <c r="AC3" s="28">
        <f>'FY21 Final Initial $$'!AC3/'FY21 FTE'!AC$120</f>
        <v>1</v>
      </c>
      <c r="AD3" s="28">
        <f>'FY21 Final Initial $$'!AD3/'FY21 FTE'!AD$120</f>
        <v>3</v>
      </c>
      <c r="AE3" s="28">
        <f>'FY21 Final Initial $$'!AE3/'FY21 FTE'!AE$120</f>
        <v>4</v>
      </c>
      <c r="AF3" s="28">
        <f>'FY21 Final Initial $$'!AF3/'FY21 FTE'!AF$120</f>
        <v>1</v>
      </c>
      <c r="AG3" s="28">
        <f>'FY21 Final Initial $$'!AG3/'FY21 FTE'!AG$120</f>
        <v>1</v>
      </c>
      <c r="AH3" s="28">
        <f>'FY21 Final Initial $$'!AH3/'FY21 FTE'!AH$120</f>
        <v>3</v>
      </c>
      <c r="AI3" s="28">
        <f>'FY21 Final Initial $$'!AI3/'FY21 FTE'!AI$120</f>
        <v>3</v>
      </c>
      <c r="AJ3" s="28">
        <f>'FY21 Final Initial $$'!AJ3/'FY21 FTE'!AJ$120</f>
        <v>2</v>
      </c>
      <c r="AK3" s="28">
        <f>'FY21 Final Initial $$'!AK3/'FY21 FTE'!AK$120</f>
        <v>2</v>
      </c>
      <c r="AL3" s="28">
        <f>'FY21 Final Initial $$'!AL3/'FY21 FTE'!AL$120</f>
        <v>2</v>
      </c>
      <c r="AM3" s="28">
        <f>'FY21 Final Initial $$'!AM3/'FY21 FTE'!AM$120</f>
        <v>2</v>
      </c>
      <c r="AN3" s="28">
        <f>'FY21 Final Initial $$'!AN3/'FY21 FTE'!AN$120</f>
        <v>2.0000000000000027</v>
      </c>
      <c r="AO3" s="28">
        <f>'FY21 Final Initial $$'!AO3/'FY21 FTE'!AO$120</f>
        <v>0</v>
      </c>
      <c r="AP3" s="28">
        <f>'FY21 Final Initial $$'!AP3/'FY21 FTE'!AP$120</f>
        <v>0</v>
      </c>
      <c r="AQ3" s="28">
        <f>'FY21 Final Initial $$'!AQ3/'FY21 FTE'!AQ$120</f>
        <v>0</v>
      </c>
      <c r="AR3" s="28">
        <f>'FY21 Final Initial $$'!AR3/'FY21 FTE'!AR$120</f>
        <v>0</v>
      </c>
      <c r="AS3" s="28">
        <f>'FY21 Final Initial $$'!AS3/'FY21 FTE'!AS$120</f>
        <v>0</v>
      </c>
      <c r="AT3" s="28">
        <f>'FY21 Final Initial $$'!AT3/'FY21 FTE'!AT$120</f>
        <v>0</v>
      </c>
      <c r="AU3" s="28">
        <f>'FY21 Final Initial $$'!AU3/'FY21 FTE'!AU$120</f>
        <v>0</v>
      </c>
      <c r="AV3" s="28">
        <f>'FY21 Final Initial $$'!AV3/'FY21 FTE'!AV$120</f>
        <v>0</v>
      </c>
      <c r="AW3" s="28">
        <f>'FY21 Final Initial $$'!AW3/'FY21 FTE'!AW$120</f>
        <v>0</v>
      </c>
      <c r="AX3" s="28">
        <f>'FY21 Final Initial $$'!AX3/'FY21 FTE'!AX$120</f>
        <v>0</v>
      </c>
      <c r="AY3" s="28">
        <f>'FY21 Final Initial $$'!AY3/'FY21 FTE'!AY$120</f>
        <v>1</v>
      </c>
      <c r="AZ3" s="28">
        <f>'FY21 Final Initial $$'!AZ3/'FY21 FTE'!AZ$120</f>
        <v>1.5</v>
      </c>
      <c r="BA3" s="28">
        <f>'FY21 Final Initial $$'!BA3/'FY21 FTE'!BA$120</f>
        <v>7</v>
      </c>
      <c r="BB3" s="28">
        <f>'FY21 Final Initial $$'!BB3/'FY21 FTE'!BB$120</f>
        <v>2</v>
      </c>
      <c r="BC3" s="28">
        <f>'FY21 Final Initial $$'!BC3/'FY21 FTE'!BC$120</f>
        <v>0</v>
      </c>
      <c r="BD3" s="28">
        <f>'FY21 Final Initial $$'!BD3/'FY21 FTE'!BD$120</f>
        <v>0</v>
      </c>
      <c r="BE3" s="28">
        <f>'FY21 Final Initial $$'!BE3/'FY21 FTE'!BE$120</f>
        <v>0.27272727272727271</v>
      </c>
      <c r="BF3" s="28">
        <f>'FY21 Final Initial $$'!BF3/'FY21 FTE'!BF$120</f>
        <v>0</v>
      </c>
      <c r="BG3" s="28">
        <f>'FY21 Final Initial $$'!BG3/'FY21 FTE'!BG$120</f>
        <v>0</v>
      </c>
      <c r="BH3" s="28">
        <f>'FY21 Final Initial $$'!BH3/'FY21 FTE'!BH$120</f>
        <v>4</v>
      </c>
      <c r="BI3" s="28">
        <f>'FY21 Final Initial $$'!BI3/'FY21 FTE'!BI$120</f>
        <v>4</v>
      </c>
      <c r="BJ3" s="28">
        <f>'FY21 Final Initial $$'!BJ3/'FY21 FTE'!BJ$120</f>
        <v>1</v>
      </c>
      <c r="BK3" s="20">
        <v>0</v>
      </c>
      <c r="BL3" s="20"/>
      <c r="BM3" s="20"/>
      <c r="BN3" s="20">
        <v>142768.57</v>
      </c>
      <c r="BO3" s="20">
        <v>2361.9499999999998</v>
      </c>
      <c r="BP3" s="20">
        <v>0</v>
      </c>
      <c r="BQ3" s="28">
        <f>'FY21 Final Initial $$'!BQ3/'FY21 FTE'!BQ$120</f>
        <v>0</v>
      </c>
      <c r="BR3" s="28">
        <f>'FY21 Final Initial $$'!BR3/'FY21 FTE'!BR$120</f>
        <v>0</v>
      </c>
      <c r="BS3" s="28">
        <f>'FY21 Final Initial $$'!BS3/'FY21 FTE'!BS$120</f>
        <v>0</v>
      </c>
      <c r="BT3" s="28">
        <f>'FY21 Final Initial $$'!BT3/'FY21 FTE'!BT$120</f>
        <v>0</v>
      </c>
      <c r="BU3" s="28">
        <f>'FY21 Final Initial $$'!BU3/'FY21 FTE'!BU$120</f>
        <v>0</v>
      </c>
      <c r="BV3" s="28">
        <f>'FY21 Final Initial $$'!BV3/'FY21 FTE'!BV$120</f>
        <v>0</v>
      </c>
      <c r="BW3" s="28">
        <f>'FY21 Final Initial $$'!BW3/'FY21 FTE'!BW$120</f>
        <v>0</v>
      </c>
      <c r="BX3" s="20">
        <v>0</v>
      </c>
      <c r="BY3" s="20">
        <v>0</v>
      </c>
      <c r="BZ3" s="20">
        <v>0</v>
      </c>
      <c r="CA3" s="20">
        <v>0</v>
      </c>
      <c r="CB3" s="28">
        <f>'FY21 Final Initial $$'!CB3/'FY21 FTE'!CB$120</f>
        <v>0</v>
      </c>
      <c r="CC3" s="28">
        <f>'FY21 Final Initial $$'!CC3/'FY21 FTE'!CC$120</f>
        <v>0</v>
      </c>
      <c r="CD3" s="20">
        <v>0</v>
      </c>
      <c r="CE3" s="28">
        <f>'FY21 Final Initial $$'!CE3/'FY21 FTE'!CE$120</f>
        <v>0</v>
      </c>
      <c r="CF3" s="28">
        <f>'FY21 Final Initial $$'!CF3/'FY21 FTE'!CF$120</f>
        <v>0</v>
      </c>
      <c r="CG3" s="28">
        <f>'FY21 Final Initial $$'!CG3/'FY21 FTE'!CG$120</f>
        <v>0</v>
      </c>
      <c r="CH3" s="28">
        <f>'FY21 Final Initial $$'!CH3/'FY21 FTE'!CH$120</f>
        <v>0</v>
      </c>
      <c r="CI3" s="28">
        <f>'FY21 Final Initial $$'!CI3/'FY21 FTE'!CI$120</f>
        <v>0</v>
      </c>
      <c r="CJ3" s="28">
        <f>'FY21 Final Initial $$'!CJ3/'FY21 FTE'!CJ$120</f>
        <v>0</v>
      </c>
      <c r="CK3" s="28">
        <f>'FY21 Final Initial $$'!CK3/'FY21 FTE'!CK$120</f>
        <v>0</v>
      </c>
      <c r="CL3" s="28">
        <f>'FY21 Final Initial $$'!CL3/'FY21 FTE'!CL$120</f>
        <v>0</v>
      </c>
      <c r="CM3" s="20">
        <v>0</v>
      </c>
      <c r="CN3" s="20">
        <v>0</v>
      </c>
      <c r="CO3" s="20">
        <v>55921.759999999995</v>
      </c>
      <c r="CP3" s="20">
        <v>0</v>
      </c>
      <c r="CQ3" s="28">
        <f>'FY21 Final Initial $$'!CQ3/'FY21 FTE'!CQ$120</f>
        <v>0</v>
      </c>
      <c r="CR3" s="20">
        <v>0</v>
      </c>
      <c r="CS3" s="20">
        <v>4620</v>
      </c>
      <c r="CT3" s="20">
        <v>0</v>
      </c>
      <c r="CU3" s="20">
        <v>19571.736250000002</v>
      </c>
      <c r="CV3" s="28">
        <f>'FY21 Final Initial $$'!CV3/'FY21 FTE'!CV$120</f>
        <v>0</v>
      </c>
      <c r="CW3" s="28">
        <f>'FY21 Final Initial $$'!CW3/'FY21 FTE'!CW$120</f>
        <v>0</v>
      </c>
      <c r="CX3" s="20">
        <v>0</v>
      </c>
      <c r="CY3" s="28">
        <f>'FY21 Final Initial $$'!CY3/'FY21 FTE'!CY$120</f>
        <v>0</v>
      </c>
      <c r="CZ3" s="20">
        <v>0</v>
      </c>
      <c r="DA3" s="20">
        <v>0</v>
      </c>
      <c r="DB3" s="20">
        <v>33500</v>
      </c>
      <c r="DC3" s="20">
        <v>75705.760061322013</v>
      </c>
      <c r="DD3" s="20">
        <v>0</v>
      </c>
      <c r="DE3" s="20">
        <v>0</v>
      </c>
      <c r="DF3" s="20">
        <v>0</v>
      </c>
      <c r="DG3" s="20">
        <v>0</v>
      </c>
      <c r="DH3" s="28">
        <f>'FY21 Final Initial $$'!DH3/'FY21 FTE'!DH$120</f>
        <v>0</v>
      </c>
      <c r="DI3" s="20"/>
      <c r="DJ3" s="20">
        <v>25349.999535083771</v>
      </c>
      <c r="DK3" s="22">
        <v>0</v>
      </c>
      <c r="DL3" s="20">
        <v>0</v>
      </c>
      <c r="DM3" s="20">
        <v>0</v>
      </c>
      <c r="DN3" s="20">
        <v>5173000.8976676483</v>
      </c>
      <c r="DO3" s="29">
        <f t="shared" ref="DO3:DP66" si="1">SUM(AB3,AD3,AF3,AH3)</f>
        <v>8</v>
      </c>
      <c r="DP3" s="29">
        <f t="shared" si="1"/>
        <v>9</v>
      </c>
      <c r="DQ3" s="29">
        <f t="shared" ref="DQ3:DQ66" si="2">SUM(AJ3:AX3)</f>
        <v>10.000000000000004</v>
      </c>
      <c r="DR3" s="29">
        <f t="shared" ref="DR3:DR66" si="3">SUM(AY3:BA3,BE3,BG3)</f>
        <v>9.7727272727272734</v>
      </c>
      <c r="DS3" s="29">
        <f t="shared" ref="DS3:DS66" si="4">SUM(BB3,BF3)</f>
        <v>2</v>
      </c>
    </row>
    <row r="4" spans="1:123" x14ac:dyDescent="0.25">
      <c r="A4" s="18">
        <v>450</v>
      </c>
      <c r="B4" t="s">
        <v>137</v>
      </c>
      <c r="C4" t="s">
        <v>138</v>
      </c>
      <c r="D4">
        <v>8</v>
      </c>
      <c r="E4">
        <v>372</v>
      </c>
      <c r="F4" s="19">
        <f t="shared" si="0"/>
        <v>0.66129032258064513</v>
      </c>
      <c r="G4">
        <v>246</v>
      </c>
      <c r="H4" s="28">
        <f>'FY21 Final Initial $$'!H4/'FY21 FTE'!H$120</f>
        <v>1</v>
      </c>
      <c r="I4" s="28">
        <f>'FY21 Final Initial $$'!I4/'FY21 FTE'!I$120</f>
        <v>1</v>
      </c>
      <c r="J4" s="28">
        <f>'FY21 Final Initial $$'!J4/'FY21 FTE'!J$120</f>
        <v>1.2</v>
      </c>
      <c r="K4" s="28">
        <f>'FY21 Final Initial $$'!K4/'FY21 FTE'!K$120</f>
        <v>0</v>
      </c>
      <c r="L4" s="28">
        <f>'FY21 Final Initial $$'!L4/'FY21 FTE'!L$120</f>
        <v>1.5000000000000002</v>
      </c>
      <c r="M4" s="28">
        <f>'FY21 Final Initial $$'!M4/'FY21 FTE'!M$120</f>
        <v>1</v>
      </c>
      <c r="N4" s="28">
        <f>'FY21 Final Initial $$'!N4/'FY21 FTE'!N$120</f>
        <v>1</v>
      </c>
      <c r="O4" s="28">
        <f>'FY21 Final Initial $$'!O4/'FY21 FTE'!O$120</f>
        <v>0</v>
      </c>
      <c r="P4" s="28">
        <f>'FY21 Final Initial $$'!P4/'FY21 FTE'!P$120</f>
        <v>1</v>
      </c>
      <c r="Q4" s="28">
        <f>'FY21 Final Initial $$'!Q4/'FY21 FTE'!Q$120</f>
        <v>1.0000004487061631</v>
      </c>
      <c r="R4" s="28">
        <f>'FY21 Final Initial $$'!R4/'FY21 FTE'!R$120</f>
        <v>1</v>
      </c>
      <c r="S4" s="28">
        <f>'FY21 Final Initial $$'!S4/'FY21 FTE'!S$120</f>
        <v>1</v>
      </c>
      <c r="T4" s="28">
        <f>'FY21 Final Initial $$'!T4/'FY21 FTE'!T$120</f>
        <v>1</v>
      </c>
      <c r="U4" s="28">
        <f>'FY21 Final Initial $$'!U4/'FY21 FTE'!U$120</f>
        <v>6</v>
      </c>
      <c r="V4" s="28">
        <f>'FY21 Final Initial $$'!V4/'FY21 FTE'!V$120</f>
        <v>1</v>
      </c>
      <c r="W4" s="28">
        <f>'FY21 Final Initial $$'!W4/'FY21 FTE'!W$120</f>
        <v>0</v>
      </c>
      <c r="X4" s="28">
        <f>'FY21 Final Initial $$'!X4/'FY21 FTE'!X$120</f>
        <v>0</v>
      </c>
      <c r="Y4" s="28">
        <f>'FY21 Final Initial $$'!Y4/'FY21 FTE'!Y$120</f>
        <v>0</v>
      </c>
      <c r="Z4" s="28">
        <f>'FY21 Final Initial $$'!Z4/'FY21 FTE'!Z$120</f>
        <v>0</v>
      </c>
      <c r="AA4" s="28">
        <f>'FY21 Final Initial $$'!AA4/'FY21 FTE'!AA$120</f>
        <v>0</v>
      </c>
      <c r="AB4" s="28">
        <f>'FY21 Final Initial $$'!AB4/'FY21 FTE'!AB$120</f>
        <v>0</v>
      </c>
      <c r="AC4" s="28">
        <f>'FY21 Final Initial $$'!AC4/'FY21 FTE'!AC$120</f>
        <v>0</v>
      </c>
      <c r="AD4" s="28">
        <f>'FY21 Final Initial $$'!AD4/'FY21 FTE'!AD$120</f>
        <v>0</v>
      </c>
      <c r="AE4" s="28">
        <f>'FY21 Final Initial $$'!AE4/'FY21 FTE'!AE$120</f>
        <v>0</v>
      </c>
      <c r="AF4" s="28">
        <f>'FY21 Final Initial $$'!AF4/'FY21 FTE'!AF$120</f>
        <v>0</v>
      </c>
      <c r="AG4" s="28">
        <f>'FY21 Final Initial $$'!AG4/'FY21 FTE'!AG$120</f>
        <v>0</v>
      </c>
      <c r="AH4" s="28">
        <f>'FY21 Final Initial $$'!AH4/'FY21 FTE'!AH$120</f>
        <v>0</v>
      </c>
      <c r="AI4" s="28">
        <f>'FY21 Final Initial $$'!AI4/'FY21 FTE'!AI$120</f>
        <v>0</v>
      </c>
      <c r="AJ4" s="28">
        <f>'FY21 Final Initial $$'!AJ4/'FY21 FTE'!AJ$120</f>
        <v>0</v>
      </c>
      <c r="AK4" s="28">
        <f>'FY21 Final Initial $$'!AK4/'FY21 FTE'!AK$120</f>
        <v>0</v>
      </c>
      <c r="AL4" s="28">
        <f>'FY21 Final Initial $$'!AL4/'FY21 FTE'!AL$120</f>
        <v>0</v>
      </c>
      <c r="AM4" s="28">
        <f>'FY21 Final Initial $$'!AM4/'FY21 FTE'!AM$120</f>
        <v>0</v>
      </c>
      <c r="AN4" s="28">
        <f>'FY21 Final Initial $$'!AN4/'FY21 FTE'!AN$120</f>
        <v>0</v>
      </c>
      <c r="AO4" s="28">
        <f>'FY21 Final Initial $$'!AO4/'FY21 FTE'!AO$120</f>
        <v>0</v>
      </c>
      <c r="AP4" s="28">
        <f>'FY21 Final Initial $$'!AP4/'FY21 FTE'!AP$120</f>
        <v>0</v>
      </c>
      <c r="AQ4" s="28">
        <f>'FY21 Final Initial $$'!AQ4/'FY21 FTE'!AQ$120</f>
        <v>0</v>
      </c>
      <c r="AR4" s="28">
        <f>'FY21 Final Initial $$'!AR4/'FY21 FTE'!AR$120</f>
        <v>0</v>
      </c>
      <c r="AS4" s="28">
        <f>'FY21 Final Initial $$'!AS4/'FY21 FTE'!AS$120</f>
        <v>0</v>
      </c>
      <c r="AT4" s="28">
        <f>'FY21 Final Initial $$'!AT4/'FY21 FTE'!AT$120</f>
        <v>0</v>
      </c>
      <c r="AU4" s="28">
        <f>'FY21 Final Initial $$'!AU4/'FY21 FTE'!AU$120</f>
        <v>0</v>
      </c>
      <c r="AV4" s="28">
        <f>'FY21 Final Initial $$'!AV4/'FY21 FTE'!AV$120</f>
        <v>0</v>
      </c>
      <c r="AW4" s="28">
        <f>'FY21 Final Initial $$'!AW4/'FY21 FTE'!AW$120</f>
        <v>15.500000000000002</v>
      </c>
      <c r="AX4" s="28">
        <f>'FY21 Final Initial $$'!AX4/'FY21 FTE'!AX$120</f>
        <v>8.8203200822505412</v>
      </c>
      <c r="AY4" s="28">
        <f>'FY21 Final Initial $$'!AY4/'FY21 FTE'!AY$120</f>
        <v>2</v>
      </c>
      <c r="AZ4" s="28">
        <f>'FY21 Final Initial $$'!AZ4/'FY21 FTE'!AZ$120</f>
        <v>4</v>
      </c>
      <c r="BA4" s="28">
        <f>'FY21 Final Initial $$'!BA4/'FY21 FTE'!BA$120</f>
        <v>14</v>
      </c>
      <c r="BB4" s="28">
        <f>'FY21 Final Initial $$'!BB4/'FY21 FTE'!BB$120</f>
        <v>10</v>
      </c>
      <c r="BC4" s="28">
        <f>'FY21 Final Initial $$'!BC4/'FY21 FTE'!BC$120</f>
        <v>2</v>
      </c>
      <c r="BD4" s="28">
        <f>'FY21 Final Initial $$'!BD4/'FY21 FTE'!BD$120</f>
        <v>0</v>
      </c>
      <c r="BE4" s="28">
        <f>'FY21 Final Initial $$'!BE4/'FY21 FTE'!BE$120</f>
        <v>0.13636363636363635</v>
      </c>
      <c r="BF4" s="28">
        <f>'FY21 Final Initial $$'!BF4/'FY21 FTE'!BF$120</f>
        <v>0</v>
      </c>
      <c r="BG4" s="28">
        <f>'FY21 Final Initial $$'!BG4/'FY21 FTE'!BG$120</f>
        <v>0</v>
      </c>
      <c r="BH4" s="28">
        <f>'FY21 Final Initial $$'!BH4/'FY21 FTE'!BH$120</f>
        <v>0</v>
      </c>
      <c r="BI4" s="28">
        <f>'FY21 Final Initial $$'!BI4/'FY21 FTE'!BI$120</f>
        <v>0</v>
      </c>
      <c r="BJ4" s="28">
        <f>'FY21 Final Initial $$'!BJ4/'FY21 FTE'!BJ$120</f>
        <v>0</v>
      </c>
      <c r="BK4" s="20">
        <v>60000</v>
      </c>
      <c r="BL4" s="20"/>
      <c r="BM4" s="20"/>
      <c r="BN4" s="20">
        <v>137654.48000000001</v>
      </c>
      <c r="BO4" s="20">
        <v>2277.34</v>
      </c>
      <c r="BP4" s="20">
        <v>0</v>
      </c>
      <c r="BQ4" s="28">
        <f>'FY21 Final Initial $$'!BQ4/'FY21 FTE'!BQ$120</f>
        <v>0</v>
      </c>
      <c r="BR4" s="28">
        <f>'FY21 Final Initial $$'!BR4/'FY21 FTE'!BR$120</f>
        <v>0</v>
      </c>
      <c r="BS4" s="28">
        <f>'FY21 Final Initial $$'!BS4/'FY21 FTE'!BS$120</f>
        <v>0</v>
      </c>
      <c r="BT4" s="28">
        <f>'FY21 Final Initial $$'!BT4/'FY21 FTE'!BT$120</f>
        <v>0</v>
      </c>
      <c r="BU4" s="28">
        <f>'FY21 Final Initial $$'!BU4/'FY21 FTE'!BU$120</f>
        <v>0</v>
      </c>
      <c r="BV4" s="28">
        <f>'FY21 Final Initial $$'!BV4/'FY21 FTE'!BV$120</f>
        <v>0</v>
      </c>
      <c r="BW4" s="28">
        <f>'FY21 Final Initial $$'!BW4/'FY21 FTE'!BW$120</f>
        <v>1</v>
      </c>
      <c r="BX4" s="20">
        <v>7319.7800000000007</v>
      </c>
      <c r="BY4" s="20">
        <v>27880</v>
      </c>
      <c r="BZ4" s="20">
        <v>0</v>
      </c>
      <c r="CA4" s="20">
        <v>0</v>
      </c>
      <c r="CB4" s="28">
        <f>'FY21 Final Initial $$'!CB4/'FY21 FTE'!CB$120</f>
        <v>0</v>
      </c>
      <c r="CC4" s="28">
        <f>'FY21 Final Initial $$'!CC4/'FY21 FTE'!CC$120</f>
        <v>0</v>
      </c>
      <c r="CD4" s="20">
        <v>44000</v>
      </c>
      <c r="CE4" s="28">
        <f>'FY21 Final Initial $$'!CE4/'FY21 FTE'!CE$120</f>
        <v>2</v>
      </c>
      <c r="CF4" s="28">
        <f>'FY21 Final Initial $$'!CF4/'FY21 FTE'!CF$120</f>
        <v>0</v>
      </c>
      <c r="CG4" s="28">
        <f>'FY21 Final Initial $$'!CG4/'FY21 FTE'!CG$120</f>
        <v>0</v>
      </c>
      <c r="CH4" s="28">
        <f>'FY21 Final Initial $$'!CH4/'FY21 FTE'!CH$120</f>
        <v>0</v>
      </c>
      <c r="CI4" s="28">
        <f>'FY21 Final Initial $$'!CI4/'FY21 FTE'!CI$120</f>
        <v>0</v>
      </c>
      <c r="CJ4" s="28">
        <f>'FY21 Final Initial $$'!CJ4/'FY21 FTE'!CJ$120</f>
        <v>0</v>
      </c>
      <c r="CK4" s="28">
        <f>'FY21 Final Initial $$'!CK4/'FY21 FTE'!CK$120</f>
        <v>0</v>
      </c>
      <c r="CL4" s="28">
        <f>'FY21 Final Initial $$'!CL4/'FY21 FTE'!CL$120</f>
        <v>0</v>
      </c>
      <c r="CM4" s="20">
        <v>0</v>
      </c>
      <c r="CN4" s="20">
        <v>0</v>
      </c>
      <c r="CO4" s="20">
        <v>615454.30000000005</v>
      </c>
      <c r="CP4" s="20">
        <v>0</v>
      </c>
      <c r="CQ4" s="28">
        <f>'FY21 Final Initial $$'!CQ4/'FY21 FTE'!CQ$120</f>
        <v>1</v>
      </c>
      <c r="CR4" s="20">
        <v>75000</v>
      </c>
      <c r="CS4" s="20">
        <v>4920</v>
      </c>
      <c r="CT4" s="20">
        <v>0</v>
      </c>
      <c r="CU4" s="20">
        <v>52403.128888888888</v>
      </c>
      <c r="CV4" s="28">
        <f>'FY21 Final Initial $$'!CV4/'FY21 FTE'!CV$120</f>
        <v>1</v>
      </c>
      <c r="CW4" s="28">
        <f>'FY21 Final Initial $$'!CW4/'FY21 FTE'!CW$120</f>
        <v>0</v>
      </c>
      <c r="CX4" s="20">
        <v>0</v>
      </c>
      <c r="CY4" s="28">
        <f>'FY21 Final Initial $$'!CY4/'FY21 FTE'!CY$120</f>
        <v>0</v>
      </c>
      <c r="CZ4" s="20">
        <v>0</v>
      </c>
      <c r="DA4" s="20">
        <v>0</v>
      </c>
      <c r="DB4" s="20">
        <v>37200</v>
      </c>
      <c r="DC4" s="20">
        <v>115076.66559496592</v>
      </c>
      <c r="DD4" s="20">
        <v>0</v>
      </c>
      <c r="DE4" s="20">
        <v>0</v>
      </c>
      <c r="DF4" s="20">
        <v>0</v>
      </c>
      <c r="DG4" s="20">
        <v>0</v>
      </c>
      <c r="DH4" s="28">
        <f>'FY21 Final Initial $$'!DH4/'FY21 FTE'!DH$120</f>
        <v>0</v>
      </c>
      <c r="DI4" s="20"/>
      <c r="DJ4" s="20">
        <v>10724.99975413084</v>
      </c>
      <c r="DK4" s="22">
        <v>0</v>
      </c>
      <c r="DL4" s="20">
        <v>0</v>
      </c>
      <c r="DM4" s="20">
        <v>150000</v>
      </c>
      <c r="DN4" s="20">
        <v>8862226.9658860397</v>
      </c>
      <c r="DO4" s="29">
        <f t="shared" si="1"/>
        <v>0</v>
      </c>
      <c r="DP4" s="29">
        <f t="shared" si="1"/>
        <v>0</v>
      </c>
      <c r="DQ4" s="29">
        <f t="shared" si="2"/>
        <v>24.320320082250543</v>
      </c>
      <c r="DR4" s="29">
        <f t="shared" si="3"/>
        <v>20.136363636363637</v>
      </c>
      <c r="DS4" s="29">
        <f t="shared" si="4"/>
        <v>10</v>
      </c>
    </row>
    <row r="5" spans="1:123" x14ac:dyDescent="0.25">
      <c r="A5" s="18">
        <v>452</v>
      </c>
      <c r="B5" t="s">
        <v>139</v>
      </c>
      <c r="C5" t="s">
        <v>138</v>
      </c>
      <c r="D5">
        <v>8</v>
      </c>
      <c r="E5">
        <v>599</v>
      </c>
      <c r="F5" s="19">
        <f t="shared" si="0"/>
        <v>0.8297161936560935</v>
      </c>
      <c r="G5">
        <v>497</v>
      </c>
      <c r="H5" s="28">
        <f>'FY21 Final Initial $$'!H5/'FY21 FTE'!H$120</f>
        <v>1</v>
      </c>
      <c r="I5" s="28">
        <f>'FY21 Final Initial $$'!I5/'FY21 FTE'!I$120</f>
        <v>1</v>
      </c>
      <c r="J5" s="28">
        <f>'FY21 Final Initial $$'!J5/'FY21 FTE'!J$120</f>
        <v>2</v>
      </c>
      <c r="K5" s="28">
        <f>'FY21 Final Initial $$'!K5/'FY21 FTE'!K$120</f>
        <v>0</v>
      </c>
      <c r="L5" s="28">
        <f>'FY21 Final Initial $$'!L5/'FY21 FTE'!L$120</f>
        <v>2.5</v>
      </c>
      <c r="M5" s="28">
        <f>'FY21 Final Initial $$'!M5/'FY21 FTE'!M$120</f>
        <v>1</v>
      </c>
      <c r="N5" s="28">
        <f>'FY21 Final Initial $$'!N5/'FY21 FTE'!N$120</f>
        <v>1</v>
      </c>
      <c r="O5" s="28">
        <f>'FY21 Final Initial $$'!O5/'FY21 FTE'!O$120</f>
        <v>1.5</v>
      </c>
      <c r="P5" s="28">
        <f>'FY21 Final Initial $$'!P5/'FY21 FTE'!P$120</f>
        <v>1</v>
      </c>
      <c r="Q5" s="28">
        <f>'FY21 Final Initial $$'!Q5/'FY21 FTE'!Q$120</f>
        <v>1.0000004487061631</v>
      </c>
      <c r="R5" s="28">
        <f>'FY21 Final Initial $$'!R5/'FY21 FTE'!R$120</f>
        <v>1</v>
      </c>
      <c r="S5" s="28">
        <f>'FY21 Final Initial $$'!S5/'FY21 FTE'!S$120</f>
        <v>1</v>
      </c>
      <c r="T5" s="28">
        <f>'FY21 Final Initial $$'!T5/'FY21 FTE'!T$120</f>
        <v>1</v>
      </c>
      <c r="U5" s="28">
        <f>'FY21 Final Initial $$'!U5/'FY21 FTE'!U$120</f>
        <v>9</v>
      </c>
      <c r="V5" s="28">
        <f>'FY21 Final Initial $$'!V5/'FY21 FTE'!V$120</f>
        <v>1</v>
      </c>
      <c r="W5" s="28">
        <f>'FY21 Final Initial $$'!W5/'FY21 FTE'!W$120</f>
        <v>0</v>
      </c>
      <c r="X5" s="28">
        <f>'FY21 Final Initial $$'!X5/'FY21 FTE'!X$120</f>
        <v>0</v>
      </c>
      <c r="Y5" s="28">
        <f>'FY21 Final Initial $$'!Y5/'FY21 FTE'!Y$120</f>
        <v>0</v>
      </c>
      <c r="Z5" s="28">
        <f>'FY21 Final Initial $$'!Z5/'FY21 FTE'!Z$120</f>
        <v>0</v>
      </c>
      <c r="AA5" s="28">
        <f>'FY21 Final Initial $$'!AA5/'FY21 FTE'!AA$120</f>
        <v>0</v>
      </c>
      <c r="AB5" s="28">
        <f>'FY21 Final Initial $$'!AB5/'FY21 FTE'!AB$120</f>
        <v>0</v>
      </c>
      <c r="AC5" s="28">
        <f>'FY21 Final Initial $$'!AC5/'FY21 FTE'!AC$120</f>
        <v>0</v>
      </c>
      <c r="AD5" s="28">
        <f>'FY21 Final Initial $$'!AD5/'FY21 FTE'!AD$120</f>
        <v>0</v>
      </c>
      <c r="AE5" s="28">
        <f>'FY21 Final Initial $$'!AE5/'FY21 FTE'!AE$120</f>
        <v>0</v>
      </c>
      <c r="AF5" s="28">
        <f>'FY21 Final Initial $$'!AF5/'FY21 FTE'!AF$120</f>
        <v>0</v>
      </c>
      <c r="AG5" s="28">
        <f>'FY21 Final Initial $$'!AG5/'FY21 FTE'!AG$120</f>
        <v>0</v>
      </c>
      <c r="AH5" s="28">
        <f>'FY21 Final Initial $$'!AH5/'FY21 FTE'!AH$120</f>
        <v>0</v>
      </c>
      <c r="AI5" s="28">
        <f>'FY21 Final Initial $$'!AI5/'FY21 FTE'!AI$120</f>
        <v>0</v>
      </c>
      <c r="AJ5" s="28">
        <f>'FY21 Final Initial $$'!AJ5/'FY21 FTE'!AJ$120</f>
        <v>0</v>
      </c>
      <c r="AK5" s="28">
        <f>'FY21 Final Initial $$'!AK5/'FY21 FTE'!AK$120</f>
        <v>0</v>
      </c>
      <c r="AL5" s="28">
        <f>'FY21 Final Initial $$'!AL5/'FY21 FTE'!AL$120</f>
        <v>0</v>
      </c>
      <c r="AM5" s="28">
        <f>'FY21 Final Initial $$'!AM5/'FY21 FTE'!AM$120</f>
        <v>0</v>
      </c>
      <c r="AN5" s="28">
        <f>'FY21 Final Initial $$'!AN5/'FY21 FTE'!AN$120</f>
        <v>0</v>
      </c>
      <c r="AO5" s="28">
        <f>'FY21 Final Initial $$'!AO5/'FY21 FTE'!AO$120</f>
        <v>0</v>
      </c>
      <c r="AP5" s="28">
        <f>'FY21 Final Initial $$'!AP5/'FY21 FTE'!AP$120</f>
        <v>0</v>
      </c>
      <c r="AQ5" s="28">
        <f>'FY21 Final Initial $$'!AQ5/'FY21 FTE'!AQ$120</f>
        <v>0</v>
      </c>
      <c r="AR5" s="28">
        <f>'FY21 Final Initial $$'!AR5/'FY21 FTE'!AR$120</f>
        <v>0</v>
      </c>
      <c r="AS5" s="28">
        <f>'FY21 Final Initial $$'!AS5/'FY21 FTE'!AS$120</f>
        <v>0</v>
      </c>
      <c r="AT5" s="28">
        <f>'FY21 Final Initial $$'!AT5/'FY21 FTE'!AT$120</f>
        <v>0</v>
      </c>
      <c r="AU5" s="28">
        <f>'FY21 Final Initial $$'!AU5/'FY21 FTE'!AU$120</f>
        <v>0</v>
      </c>
      <c r="AV5" s="28">
        <f>'FY21 Final Initial $$'!AV5/'FY21 FTE'!AV$120</f>
        <v>0</v>
      </c>
      <c r="AW5" s="28">
        <f>'FY21 Final Initial $$'!AW5/'FY21 FTE'!AW$120</f>
        <v>24.958333333333332</v>
      </c>
      <c r="AX5" s="28">
        <f>'FY21 Final Initial $$'!AX5/'FY21 FTE'!AX$120</f>
        <v>11.163291381187285</v>
      </c>
      <c r="AY5" s="28">
        <f>'FY21 Final Initial $$'!AY5/'FY21 FTE'!AY$120</f>
        <v>2</v>
      </c>
      <c r="AZ5" s="28">
        <f>'FY21 Final Initial $$'!AZ5/'FY21 FTE'!AZ$120</f>
        <v>5</v>
      </c>
      <c r="BA5" s="28">
        <f>'FY21 Final Initial $$'!BA5/'FY21 FTE'!BA$120</f>
        <v>15</v>
      </c>
      <c r="BB5" s="28">
        <f>'FY21 Final Initial $$'!BB5/'FY21 FTE'!BB$120</f>
        <v>7</v>
      </c>
      <c r="BC5" s="28">
        <f>'FY21 Final Initial $$'!BC5/'FY21 FTE'!BC$120</f>
        <v>2</v>
      </c>
      <c r="BD5" s="28">
        <f>'FY21 Final Initial $$'!BD5/'FY21 FTE'!BD$120</f>
        <v>0</v>
      </c>
      <c r="BE5" s="28">
        <f>'FY21 Final Initial $$'!BE5/'FY21 FTE'!BE$120</f>
        <v>1</v>
      </c>
      <c r="BF5" s="28">
        <f>'FY21 Final Initial $$'!BF5/'FY21 FTE'!BF$120</f>
        <v>0</v>
      </c>
      <c r="BG5" s="28">
        <f>'FY21 Final Initial $$'!BG5/'FY21 FTE'!BG$120</f>
        <v>0</v>
      </c>
      <c r="BH5" s="28">
        <f>'FY21 Final Initial $$'!BH5/'FY21 FTE'!BH$120</f>
        <v>0</v>
      </c>
      <c r="BI5" s="28">
        <f>'FY21 Final Initial $$'!BI5/'FY21 FTE'!BI$120</f>
        <v>0</v>
      </c>
      <c r="BJ5" s="28">
        <f>'FY21 Final Initial $$'!BJ5/'FY21 FTE'!BJ$120</f>
        <v>0</v>
      </c>
      <c r="BK5" s="20">
        <v>65000</v>
      </c>
      <c r="BL5" s="20"/>
      <c r="BM5" s="20"/>
      <c r="BN5" s="20">
        <v>244198.19</v>
      </c>
      <c r="BO5" s="20">
        <v>4039.99</v>
      </c>
      <c r="BP5" s="20">
        <v>0</v>
      </c>
      <c r="BQ5" s="28">
        <f>'FY21 Final Initial $$'!BQ5/'FY21 FTE'!BQ$120</f>
        <v>0</v>
      </c>
      <c r="BR5" s="28">
        <f>'FY21 Final Initial $$'!BR5/'FY21 FTE'!BR$120</f>
        <v>0</v>
      </c>
      <c r="BS5" s="28">
        <f>'FY21 Final Initial $$'!BS5/'FY21 FTE'!BS$120</f>
        <v>0</v>
      </c>
      <c r="BT5" s="28">
        <f>'FY21 Final Initial $$'!BT5/'FY21 FTE'!BT$120</f>
        <v>0</v>
      </c>
      <c r="BU5" s="28">
        <f>'FY21 Final Initial $$'!BU5/'FY21 FTE'!BU$120</f>
        <v>0</v>
      </c>
      <c r="BV5" s="28">
        <f>'FY21 Final Initial $$'!BV5/'FY21 FTE'!BV$120</f>
        <v>0</v>
      </c>
      <c r="BW5" s="28">
        <f>'FY21 Final Initial $$'!BW5/'FY21 FTE'!BW$120</f>
        <v>1</v>
      </c>
      <c r="BX5" s="20">
        <v>11199.78</v>
      </c>
      <c r="BY5" s="20">
        <v>34000</v>
      </c>
      <c r="BZ5" s="20">
        <v>0</v>
      </c>
      <c r="CA5" s="20">
        <v>45000</v>
      </c>
      <c r="CB5" s="28">
        <f>'FY21 Final Initial $$'!CB5/'FY21 FTE'!CB$120</f>
        <v>0</v>
      </c>
      <c r="CC5" s="28">
        <f>'FY21 Final Initial $$'!CC5/'FY21 FTE'!CC$120</f>
        <v>0</v>
      </c>
      <c r="CD5" s="20">
        <v>44000</v>
      </c>
      <c r="CE5" s="28">
        <f>'FY21 Final Initial $$'!CE5/'FY21 FTE'!CE$120</f>
        <v>2</v>
      </c>
      <c r="CF5" s="28">
        <f>'FY21 Final Initial $$'!CF5/'FY21 FTE'!CF$120</f>
        <v>0</v>
      </c>
      <c r="CG5" s="28">
        <f>'FY21 Final Initial $$'!CG5/'FY21 FTE'!CG$120</f>
        <v>1</v>
      </c>
      <c r="CH5" s="28">
        <f>'FY21 Final Initial $$'!CH5/'FY21 FTE'!CH$120</f>
        <v>1</v>
      </c>
      <c r="CI5" s="28">
        <f>'FY21 Final Initial $$'!CI5/'FY21 FTE'!CI$120</f>
        <v>0</v>
      </c>
      <c r="CJ5" s="28">
        <f>'FY21 Final Initial $$'!CJ5/'FY21 FTE'!CJ$120</f>
        <v>1</v>
      </c>
      <c r="CK5" s="28">
        <f>'FY21 Final Initial $$'!CK5/'FY21 FTE'!CK$120</f>
        <v>0</v>
      </c>
      <c r="CL5" s="28">
        <f>'FY21 Final Initial $$'!CL5/'FY21 FTE'!CL$120</f>
        <v>0</v>
      </c>
      <c r="CM5" s="20">
        <v>0</v>
      </c>
      <c r="CN5" s="20">
        <v>0</v>
      </c>
      <c r="CO5" s="20">
        <v>732137.76</v>
      </c>
      <c r="CP5" s="20">
        <v>0</v>
      </c>
      <c r="CQ5" s="28">
        <f>'FY21 Final Initial $$'!CQ5/'FY21 FTE'!CQ$120</f>
        <v>1</v>
      </c>
      <c r="CR5" s="20">
        <v>75000</v>
      </c>
      <c r="CS5" s="20">
        <v>19880</v>
      </c>
      <c r="CT5" s="20">
        <v>0</v>
      </c>
      <c r="CU5" s="20">
        <v>80121.335098684212</v>
      </c>
      <c r="CV5" s="28">
        <f>'FY21 Final Initial $$'!CV5/'FY21 FTE'!CV$120</f>
        <v>1</v>
      </c>
      <c r="CW5" s="28">
        <f>'FY21 Final Initial $$'!CW5/'FY21 FTE'!CW$120</f>
        <v>0</v>
      </c>
      <c r="CX5" s="20">
        <v>0</v>
      </c>
      <c r="CY5" s="28">
        <f>'FY21 Final Initial $$'!CY5/'FY21 FTE'!CY$120</f>
        <v>0</v>
      </c>
      <c r="CZ5" s="20">
        <v>5000</v>
      </c>
      <c r="DA5" s="20">
        <v>113945.66</v>
      </c>
      <c r="DB5" s="20">
        <v>59900</v>
      </c>
      <c r="DC5" s="20">
        <v>147057.90108774608</v>
      </c>
      <c r="DD5" s="20">
        <v>0</v>
      </c>
      <c r="DE5" s="20">
        <v>0</v>
      </c>
      <c r="DF5" s="20">
        <v>0</v>
      </c>
      <c r="DG5" s="20">
        <v>0</v>
      </c>
      <c r="DH5" s="28">
        <f>'FY21 Final Initial $$'!DH5/'FY21 FTE'!DH$120</f>
        <v>0</v>
      </c>
      <c r="DI5" s="20"/>
      <c r="DJ5" s="20">
        <v>44625.000201165676</v>
      </c>
      <c r="DK5" s="22">
        <v>0</v>
      </c>
      <c r="DL5" s="20">
        <v>374154.21424586966</v>
      </c>
      <c r="DM5" s="20">
        <v>450000</v>
      </c>
      <c r="DN5" s="20">
        <v>12426144.996275799</v>
      </c>
      <c r="DO5" s="29">
        <f t="shared" si="1"/>
        <v>0</v>
      </c>
      <c r="DP5" s="29">
        <f t="shared" si="1"/>
        <v>0</v>
      </c>
      <c r="DQ5" s="29">
        <f t="shared" si="2"/>
        <v>36.121624714520621</v>
      </c>
      <c r="DR5" s="29">
        <f t="shared" si="3"/>
        <v>23</v>
      </c>
      <c r="DS5" s="29">
        <f t="shared" si="4"/>
        <v>7</v>
      </c>
    </row>
    <row r="6" spans="1:123" x14ac:dyDescent="0.25">
      <c r="A6" s="18">
        <v>462</v>
      </c>
      <c r="B6" t="s">
        <v>140</v>
      </c>
      <c r="C6" t="s">
        <v>141</v>
      </c>
      <c r="D6">
        <v>8</v>
      </c>
      <c r="E6">
        <v>514</v>
      </c>
      <c r="F6" s="19">
        <f t="shared" si="0"/>
        <v>0</v>
      </c>
      <c r="G6">
        <v>0</v>
      </c>
      <c r="H6" s="28">
        <f>'FY21 Final Initial $$'!H6/'FY21 FTE'!H$120</f>
        <v>1</v>
      </c>
      <c r="I6" s="28">
        <f>'FY21 Final Initial $$'!I6/'FY21 FTE'!I$120</f>
        <v>1</v>
      </c>
      <c r="J6" s="28">
        <f>'FY21 Final Initial $$'!J6/'FY21 FTE'!J$120</f>
        <v>1.7133333333333334</v>
      </c>
      <c r="K6" s="28">
        <f>'FY21 Final Initial $$'!K6/'FY21 FTE'!K$120</f>
        <v>0</v>
      </c>
      <c r="L6" s="28">
        <f>'FY21 Final Initial $$'!L6/'FY21 FTE'!L$120</f>
        <v>2</v>
      </c>
      <c r="M6" s="28">
        <f>'FY21 Final Initial $$'!M6/'FY21 FTE'!M$120</f>
        <v>0</v>
      </c>
      <c r="N6" s="28">
        <f>'FY21 Final Initial $$'!N6/'FY21 FTE'!N$120</f>
        <v>1</v>
      </c>
      <c r="O6" s="28">
        <f>'FY21 Final Initial $$'!O6/'FY21 FTE'!O$120</f>
        <v>1.3</v>
      </c>
      <c r="P6" s="28">
        <f>'FY21 Final Initial $$'!P6/'FY21 FTE'!P$120</f>
        <v>1</v>
      </c>
      <c r="Q6" s="28">
        <f>'FY21 Final Initial $$'!Q6/'FY21 FTE'!Q$120</f>
        <v>1.0000004487061702</v>
      </c>
      <c r="R6" s="28">
        <f>'FY21 Final Initial $$'!R6/'FY21 FTE'!R$120</f>
        <v>0</v>
      </c>
      <c r="S6" s="28">
        <f>'FY21 Final Initial $$'!S6/'FY21 FTE'!S$120</f>
        <v>1</v>
      </c>
      <c r="T6" s="28">
        <f>'FY21 Final Initial $$'!T6/'FY21 FTE'!T$120</f>
        <v>1</v>
      </c>
      <c r="U6" s="28">
        <f>'FY21 Final Initial $$'!U6/'FY21 FTE'!U$120</f>
        <v>1</v>
      </c>
      <c r="V6" s="28">
        <f>'FY21 Final Initial $$'!V6/'FY21 FTE'!V$120</f>
        <v>0</v>
      </c>
      <c r="W6" s="28">
        <f>'FY21 Final Initial $$'!W6/'FY21 FTE'!W$120</f>
        <v>0</v>
      </c>
      <c r="X6" s="28">
        <f>'FY21 Final Initial $$'!X6/'FY21 FTE'!X$120</f>
        <v>0</v>
      </c>
      <c r="Y6" s="28">
        <f>'FY21 Final Initial $$'!Y6/'FY21 FTE'!Y$120</f>
        <v>0</v>
      </c>
      <c r="Z6" s="28">
        <f>'FY21 Final Initial $$'!Z6/'FY21 FTE'!Z$120</f>
        <v>0</v>
      </c>
      <c r="AA6" s="28">
        <f>'FY21 Final Initial $$'!AA6/'FY21 FTE'!AA$120</f>
        <v>0</v>
      </c>
      <c r="AB6" s="28">
        <f>'FY21 Final Initial $$'!AB6/'FY21 FTE'!AB$120</f>
        <v>0</v>
      </c>
      <c r="AC6" s="28">
        <f>'FY21 Final Initial $$'!AC6/'FY21 FTE'!AC$120</f>
        <v>0</v>
      </c>
      <c r="AD6" s="28">
        <f>'FY21 Final Initial $$'!AD6/'FY21 FTE'!AD$120</f>
        <v>0</v>
      </c>
      <c r="AE6" s="28">
        <f>'FY21 Final Initial $$'!AE6/'FY21 FTE'!AE$120</f>
        <v>0</v>
      </c>
      <c r="AF6" s="28">
        <f>'FY21 Final Initial $$'!AF6/'FY21 FTE'!AF$120</f>
        <v>0</v>
      </c>
      <c r="AG6" s="28">
        <f>'FY21 Final Initial $$'!AG6/'FY21 FTE'!AG$120</f>
        <v>0</v>
      </c>
      <c r="AH6" s="28">
        <f>'FY21 Final Initial $$'!AH6/'FY21 FTE'!AH$120</f>
        <v>0</v>
      </c>
      <c r="AI6" s="28">
        <f>'FY21 Final Initial $$'!AI6/'FY21 FTE'!AI$120</f>
        <v>0</v>
      </c>
      <c r="AJ6" s="28">
        <f>'FY21 Final Initial $$'!AJ6/'FY21 FTE'!AJ$120</f>
        <v>0</v>
      </c>
      <c r="AK6" s="28">
        <f>'FY21 Final Initial $$'!AK6/'FY21 FTE'!AK$120</f>
        <v>0</v>
      </c>
      <c r="AL6" s="28">
        <f>'FY21 Final Initial $$'!AL6/'FY21 FTE'!AL$120</f>
        <v>0</v>
      </c>
      <c r="AM6" s="28">
        <f>'FY21 Final Initial $$'!AM6/'FY21 FTE'!AM$120</f>
        <v>0</v>
      </c>
      <c r="AN6" s="28">
        <f>'FY21 Final Initial $$'!AN6/'FY21 FTE'!AN$120</f>
        <v>0</v>
      </c>
      <c r="AO6" s="28">
        <f>'FY21 Final Initial $$'!AO6/'FY21 FTE'!AO$120</f>
        <v>0</v>
      </c>
      <c r="AP6" s="28">
        <f>'FY21 Final Initial $$'!AP6/'FY21 FTE'!AP$120</f>
        <v>0</v>
      </c>
      <c r="AQ6" s="28">
        <f>'FY21 Final Initial $$'!AQ6/'FY21 FTE'!AQ$120</f>
        <v>0</v>
      </c>
      <c r="AR6" s="28">
        <f>'FY21 Final Initial $$'!AR6/'FY21 FTE'!AR$120</f>
        <v>0</v>
      </c>
      <c r="AS6" s="28">
        <f>'FY21 Final Initial $$'!AS6/'FY21 FTE'!AS$120</f>
        <v>0</v>
      </c>
      <c r="AT6" s="28">
        <f>'FY21 Final Initial $$'!AT6/'FY21 FTE'!AT$120</f>
        <v>0</v>
      </c>
      <c r="AU6" s="28">
        <f>'FY21 Final Initial $$'!AU6/'FY21 FTE'!AU$120</f>
        <v>0</v>
      </c>
      <c r="AV6" s="28">
        <f>'FY21 Final Initial $$'!AV6/'FY21 FTE'!AV$120</f>
        <v>0</v>
      </c>
      <c r="AW6" s="28">
        <f>'FY21 Final Initial $$'!AW6/'FY21 FTE'!AW$120</f>
        <v>18.083333333333332</v>
      </c>
      <c r="AX6" s="28">
        <f>'FY21 Final Initial $$'!AX6/'FY21 FTE'!AX$120</f>
        <v>0</v>
      </c>
      <c r="AY6" s="28">
        <f>'FY21 Final Initial $$'!AY6/'FY21 FTE'!AY$120</f>
        <v>1</v>
      </c>
      <c r="AZ6" s="28">
        <f>'FY21 Final Initial $$'!AZ6/'FY21 FTE'!AZ$120</f>
        <v>2</v>
      </c>
      <c r="BA6" s="28">
        <f>'FY21 Final Initial $$'!BA6/'FY21 FTE'!BA$120</f>
        <v>10</v>
      </c>
      <c r="BB6" s="28">
        <f>'FY21 Final Initial $$'!BB6/'FY21 FTE'!BB$120</f>
        <v>2</v>
      </c>
      <c r="BC6" s="28">
        <f>'FY21 Final Initial $$'!BC6/'FY21 FTE'!BC$120</f>
        <v>1</v>
      </c>
      <c r="BD6" s="28">
        <f>'FY21 Final Initial $$'!BD6/'FY21 FTE'!BD$120</f>
        <v>0</v>
      </c>
      <c r="BE6" s="28">
        <f>'FY21 Final Initial $$'!BE6/'FY21 FTE'!BE$120</f>
        <v>0.18181818181818182</v>
      </c>
      <c r="BF6" s="28">
        <f>'FY21 Final Initial $$'!BF6/'FY21 FTE'!BF$120</f>
        <v>0</v>
      </c>
      <c r="BG6" s="28">
        <f>'FY21 Final Initial $$'!BG6/'FY21 FTE'!BG$120</f>
        <v>0</v>
      </c>
      <c r="BH6" s="28">
        <f>'FY21 Final Initial $$'!BH6/'FY21 FTE'!BH$120</f>
        <v>0</v>
      </c>
      <c r="BI6" s="28">
        <f>'FY21 Final Initial $$'!BI6/'FY21 FTE'!BI$120</f>
        <v>0</v>
      </c>
      <c r="BJ6" s="28">
        <f>'FY21 Final Initial $$'!BJ6/'FY21 FTE'!BJ$120</f>
        <v>0</v>
      </c>
      <c r="BK6" s="20">
        <v>70000</v>
      </c>
      <c r="BL6" s="20"/>
      <c r="BM6" s="20"/>
      <c r="BN6" s="20">
        <v>0</v>
      </c>
      <c r="BO6" s="20">
        <v>0</v>
      </c>
      <c r="BP6" s="20">
        <v>12300</v>
      </c>
      <c r="BQ6" s="28">
        <f>'FY21 Final Initial $$'!BQ6/'FY21 FTE'!BQ$120</f>
        <v>0</v>
      </c>
      <c r="BR6" s="28">
        <f>'FY21 Final Initial $$'!BR6/'FY21 FTE'!BR$120</f>
        <v>0</v>
      </c>
      <c r="BS6" s="28">
        <f>'FY21 Final Initial $$'!BS6/'FY21 FTE'!BS$120</f>
        <v>0</v>
      </c>
      <c r="BT6" s="28">
        <f>'FY21 Final Initial $$'!BT6/'FY21 FTE'!BT$120</f>
        <v>0</v>
      </c>
      <c r="BU6" s="28">
        <f>'FY21 Final Initial $$'!BU6/'FY21 FTE'!BU$120</f>
        <v>0</v>
      </c>
      <c r="BV6" s="28">
        <f>'FY21 Final Initial $$'!BV6/'FY21 FTE'!BV$120</f>
        <v>0</v>
      </c>
      <c r="BW6" s="28">
        <f>'FY21 Final Initial $$'!BW6/'FY21 FTE'!BW$120</f>
        <v>0</v>
      </c>
      <c r="BX6" s="20">
        <v>0</v>
      </c>
      <c r="BY6" s="20">
        <v>0</v>
      </c>
      <c r="BZ6" s="20">
        <v>0</v>
      </c>
      <c r="CA6" s="20">
        <v>0</v>
      </c>
      <c r="CB6" s="28">
        <f>'FY21 Final Initial $$'!CB6/'FY21 FTE'!CB$120</f>
        <v>0</v>
      </c>
      <c r="CC6" s="28">
        <f>'FY21 Final Initial $$'!CC6/'FY21 FTE'!CC$120</f>
        <v>0</v>
      </c>
      <c r="CD6" s="20">
        <v>0</v>
      </c>
      <c r="CE6" s="28">
        <f>'FY21 Final Initial $$'!CE6/'FY21 FTE'!CE$120</f>
        <v>0</v>
      </c>
      <c r="CF6" s="28">
        <f>'FY21 Final Initial $$'!CF6/'FY21 FTE'!CF$120</f>
        <v>0</v>
      </c>
      <c r="CG6" s="28">
        <f>'FY21 Final Initial $$'!CG6/'FY21 FTE'!CG$120</f>
        <v>0</v>
      </c>
      <c r="CH6" s="28">
        <f>'FY21 Final Initial $$'!CH6/'FY21 FTE'!CH$120</f>
        <v>0</v>
      </c>
      <c r="CI6" s="28">
        <f>'FY21 Final Initial $$'!CI6/'FY21 FTE'!CI$120</f>
        <v>0</v>
      </c>
      <c r="CJ6" s="28">
        <f>'FY21 Final Initial $$'!CJ6/'FY21 FTE'!CJ$120</f>
        <v>0</v>
      </c>
      <c r="CK6" s="28">
        <f>'FY21 Final Initial $$'!CK6/'FY21 FTE'!CK$120</f>
        <v>0</v>
      </c>
      <c r="CL6" s="28">
        <f>'FY21 Final Initial $$'!CL6/'FY21 FTE'!CL$120</f>
        <v>0</v>
      </c>
      <c r="CM6" s="20">
        <v>0</v>
      </c>
      <c r="CN6" s="20">
        <v>0</v>
      </c>
      <c r="CO6" s="20">
        <v>188124.15999999997</v>
      </c>
      <c r="CP6" s="20">
        <v>0</v>
      </c>
      <c r="CQ6" s="28">
        <f>'FY21 Final Initial $$'!CQ6/'FY21 FTE'!CQ$120</f>
        <v>0</v>
      </c>
      <c r="CR6" s="20">
        <v>0</v>
      </c>
      <c r="CS6" s="20">
        <v>0</v>
      </c>
      <c r="CT6" s="20">
        <v>0</v>
      </c>
      <c r="CU6" s="20">
        <v>64521.5</v>
      </c>
      <c r="CV6" s="28">
        <f>'FY21 Final Initial $$'!CV6/'FY21 FTE'!CV$120</f>
        <v>0</v>
      </c>
      <c r="CW6" s="28">
        <f>'FY21 Final Initial $$'!CW6/'FY21 FTE'!CW$120</f>
        <v>1</v>
      </c>
      <c r="CX6" s="20">
        <v>150000</v>
      </c>
      <c r="CY6" s="28">
        <f>'FY21 Final Initial $$'!CY6/'FY21 FTE'!CY$120</f>
        <v>0</v>
      </c>
      <c r="CZ6" s="20">
        <v>0</v>
      </c>
      <c r="DA6" s="20">
        <v>0</v>
      </c>
      <c r="DB6" s="20">
        <v>51400</v>
      </c>
      <c r="DC6" s="20">
        <v>79459.059511762593</v>
      </c>
      <c r="DD6" s="20">
        <v>0</v>
      </c>
      <c r="DE6" s="20">
        <v>0</v>
      </c>
      <c r="DF6" s="20">
        <v>0</v>
      </c>
      <c r="DG6" s="20">
        <v>0</v>
      </c>
      <c r="DH6" s="28">
        <f>'FY21 Final Initial $$'!DH6/'FY21 FTE'!DH$120</f>
        <v>0</v>
      </c>
      <c r="DI6" s="20">
        <v>3025.0000655651093</v>
      </c>
      <c r="DJ6" s="20">
        <v>3025.0000655651093</v>
      </c>
      <c r="DK6" s="22">
        <v>0</v>
      </c>
      <c r="DL6" s="20">
        <v>0</v>
      </c>
      <c r="DM6" s="20">
        <v>0</v>
      </c>
      <c r="DN6" s="20">
        <v>5554175.0308669303</v>
      </c>
      <c r="DO6" s="29">
        <f t="shared" si="1"/>
        <v>0</v>
      </c>
      <c r="DP6" s="29">
        <f t="shared" si="1"/>
        <v>0</v>
      </c>
      <c r="DQ6" s="29">
        <f t="shared" si="2"/>
        <v>18.083333333333332</v>
      </c>
      <c r="DR6" s="29">
        <f t="shared" si="3"/>
        <v>13.181818181818182</v>
      </c>
      <c r="DS6" s="29">
        <f t="shared" si="4"/>
        <v>2</v>
      </c>
    </row>
    <row r="7" spans="1:123" x14ac:dyDescent="0.25">
      <c r="A7" s="18">
        <v>204</v>
      </c>
      <c r="B7" t="s">
        <v>143</v>
      </c>
      <c r="C7" t="s">
        <v>135</v>
      </c>
      <c r="D7">
        <v>1</v>
      </c>
      <c r="E7">
        <v>655</v>
      </c>
      <c r="F7" s="19">
        <f t="shared" si="0"/>
        <v>0.34503816793893127</v>
      </c>
      <c r="G7">
        <v>226</v>
      </c>
      <c r="H7" s="28">
        <f>'FY21 Final Initial $$'!H7/'FY21 FTE'!H$120</f>
        <v>1</v>
      </c>
      <c r="I7" s="28">
        <f>'FY21 Final Initial $$'!I7/'FY21 FTE'!I$120</f>
        <v>1</v>
      </c>
      <c r="J7" s="28">
        <f>'FY21 Final Initial $$'!J7/'FY21 FTE'!J$120</f>
        <v>1.6</v>
      </c>
      <c r="K7" s="28">
        <f>'FY21 Final Initial $$'!K7/'FY21 FTE'!K$120</f>
        <v>0</v>
      </c>
      <c r="L7" s="28">
        <f>'FY21 Final Initial $$'!L7/'FY21 FTE'!L$120</f>
        <v>0</v>
      </c>
      <c r="M7" s="28">
        <f>'FY21 Final Initial $$'!M7/'FY21 FTE'!M$120</f>
        <v>1</v>
      </c>
      <c r="N7" s="28">
        <f>'FY21 Final Initial $$'!N7/'FY21 FTE'!N$120</f>
        <v>1</v>
      </c>
      <c r="O7" s="28">
        <f>'FY21 Final Initial $$'!O7/'FY21 FTE'!O$120</f>
        <v>1.6</v>
      </c>
      <c r="P7" s="28">
        <f>'FY21 Final Initial $$'!P7/'FY21 FTE'!P$120</f>
        <v>0</v>
      </c>
      <c r="Q7" s="28">
        <f>'FY21 Final Initial $$'!Q7/'FY21 FTE'!Q$120</f>
        <v>0</v>
      </c>
      <c r="R7" s="28">
        <f>'FY21 Final Initial $$'!R7/'FY21 FTE'!R$120</f>
        <v>0</v>
      </c>
      <c r="S7" s="28">
        <f>'FY21 Final Initial $$'!S7/'FY21 FTE'!S$120</f>
        <v>1</v>
      </c>
      <c r="T7" s="28">
        <f>'FY21 Final Initial $$'!T7/'FY21 FTE'!T$120</f>
        <v>1</v>
      </c>
      <c r="U7" s="28">
        <f>'FY21 Final Initial $$'!U7/'FY21 FTE'!U$120</f>
        <v>4</v>
      </c>
      <c r="V7" s="28">
        <f>'FY21 Final Initial $$'!V7/'FY21 FTE'!V$120</f>
        <v>1</v>
      </c>
      <c r="W7" s="28">
        <f>'FY21 Final Initial $$'!W7/'FY21 FTE'!W$120</f>
        <v>1</v>
      </c>
      <c r="X7" s="28">
        <f>'FY21 Final Initial $$'!X7/'FY21 FTE'!X$120</f>
        <v>1</v>
      </c>
      <c r="Y7" s="28">
        <f>'FY21 Final Initial $$'!Y7/'FY21 FTE'!Y$120</f>
        <v>1</v>
      </c>
      <c r="Z7" s="28">
        <f>'FY21 Final Initial $$'!Z7/'FY21 FTE'!Z$120</f>
        <v>2.5</v>
      </c>
      <c r="AA7" s="28">
        <f>'FY21 Final Initial $$'!AA7/'FY21 FTE'!AA$120</f>
        <v>0</v>
      </c>
      <c r="AB7" s="28">
        <f>'FY21 Final Initial $$'!AB7/'FY21 FTE'!AB$120</f>
        <v>3</v>
      </c>
      <c r="AC7" s="28">
        <f>'FY21 Final Initial $$'!AC7/'FY21 FTE'!AC$120</f>
        <v>3</v>
      </c>
      <c r="AD7" s="28">
        <f>'FY21 Final Initial $$'!AD7/'FY21 FTE'!AD$120</f>
        <v>0</v>
      </c>
      <c r="AE7" s="28">
        <f>'FY21 Final Initial $$'!AE7/'FY21 FTE'!AE$120</f>
        <v>0</v>
      </c>
      <c r="AF7" s="28">
        <f>'FY21 Final Initial $$'!AF7/'FY21 FTE'!AF$120</f>
        <v>3</v>
      </c>
      <c r="AG7" s="28">
        <f>'FY21 Final Initial $$'!AG7/'FY21 FTE'!AG$120</f>
        <v>3</v>
      </c>
      <c r="AH7" s="28">
        <f>'FY21 Final Initial $$'!AH7/'FY21 FTE'!AH$120</f>
        <v>4</v>
      </c>
      <c r="AI7" s="28">
        <f>'FY21 Final Initial $$'!AI7/'FY21 FTE'!AI$120</f>
        <v>4</v>
      </c>
      <c r="AJ7" s="28">
        <f>'FY21 Final Initial $$'!AJ7/'FY21 FTE'!AJ$120</f>
        <v>4</v>
      </c>
      <c r="AK7" s="28">
        <f>'FY21 Final Initial $$'!AK7/'FY21 FTE'!AK$120</f>
        <v>4</v>
      </c>
      <c r="AL7" s="28">
        <f>'FY21 Final Initial $$'!AL7/'FY21 FTE'!AL$120</f>
        <v>4</v>
      </c>
      <c r="AM7" s="28">
        <f>'FY21 Final Initial $$'!AM7/'FY21 FTE'!AM$120</f>
        <v>4</v>
      </c>
      <c r="AN7" s="28">
        <f>'FY21 Final Initial $$'!AN7/'FY21 FTE'!AN$120</f>
        <v>3.000000000000004</v>
      </c>
      <c r="AO7" s="28">
        <f>'FY21 Final Initial $$'!AO7/'FY21 FTE'!AO$120</f>
        <v>0</v>
      </c>
      <c r="AP7" s="28">
        <f>'FY21 Final Initial $$'!AP7/'FY21 FTE'!AP$120</f>
        <v>0</v>
      </c>
      <c r="AQ7" s="28">
        <f>'FY21 Final Initial $$'!AQ7/'FY21 FTE'!AQ$120</f>
        <v>0</v>
      </c>
      <c r="AR7" s="28">
        <f>'FY21 Final Initial $$'!AR7/'FY21 FTE'!AR$120</f>
        <v>0</v>
      </c>
      <c r="AS7" s="28">
        <f>'FY21 Final Initial $$'!AS7/'FY21 FTE'!AS$120</f>
        <v>0</v>
      </c>
      <c r="AT7" s="28">
        <f>'FY21 Final Initial $$'!AT7/'FY21 FTE'!AT$120</f>
        <v>0</v>
      </c>
      <c r="AU7" s="28">
        <f>'FY21 Final Initial $$'!AU7/'FY21 FTE'!AU$120</f>
        <v>0</v>
      </c>
      <c r="AV7" s="28">
        <f>'FY21 Final Initial $$'!AV7/'FY21 FTE'!AV$120</f>
        <v>0</v>
      </c>
      <c r="AW7" s="28">
        <f>'FY21 Final Initial $$'!AW7/'FY21 FTE'!AW$120</f>
        <v>0</v>
      </c>
      <c r="AX7" s="28">
        <f>'FY21 Final Initial $$'!AX7/'FY21 FTE'!AX$120</f>
        <v>0</v>
      </c>
      <c r="AY7" s="28">
        <f>'FY21 Final Initial $$'!AY7/'FY21 FTE'!AY$120</f>
        <v>1</v>
      </c>
      <c r="AZ7" s="28">
        <f>'FY21 Final Initial $$'!AZ7/'FY21 FTE'!AZ$120</f>
        <v>2</v>
      </c>
      <c r="BA7" s="28">
        <f>'FY21 Final Initial $$'!BA7/'FY21 FTE'!BA$120</f>
        <v>10</v>
      </c>
      <c r="BB7" s="28">
        <f>'FY21 Final Initial $$'!BB7/'FY21 FTE'!BB$120</f>
        <v>4</v>
      </c>
      <c r="BC7" s="28">
        <f>'FY21 Final Initial $$'!BC7/'FY21 FTE'!BC$120</f>
        <v>0</v>
      </c>
      <c r="BD7" s="28">
        <f>'FY21 Final Initial $$'!BD7/'FY21 FTE'!BD$120</f>
        <v>0</v>
      </c>
      <c r="BE7" s="28">
        <f>'FY21 Final Initial $$'!BE7/'FY21 FTE'!BE$120</f>
        <v>17</v>
      </c>
      <c r="BF7" s="28">
        <f>'FY21 Final Initial $$'!BF7/'FY21 FTE'!BF$120</f>
        <v>1</v>
      </c>
      <c r="BG7" s="28">
        <f>'FY21 Final Initial $$'!BG7/'FY21 FTE'!BG$120</f>
        <v>3</v>
      </c>
      <c r="BH7" s="28">
        <f>'FY21 Final Initial $$'!BH7/'FY21 FTE'!BH$120</f>
        <v>4</v>
      </c>
      <c r="BI7" s="28">
        <f>'FY21 Final Initial $$'!BI7/'FY21 FTE'!BI$120</f>
        <v>4</v>
      </c>
      <c r="BJ7" s="28">
        <f>'FY21 Final Initial $$'!BJ7/'FY21 FTE'!BJ$120</f>
        <v>1</v>
      </c>
      <c r="BK7" s="20">
        <v>0</v>
      </c>
      <c r="BL7" s="20"/>
      <c r="BM7" s="20"/>
      <c r="BN7" s="20">
        <v>262523.71000000002</v>
      </c>
      <c r="BO7" s="20">
        <v>4343.16</v>
      </c>
      <c r="BP7" s="20">
        <v>0</v>
      </c>
      <c r="BQ7" s="28">
        <f>'FY21 Final Initial $$'!BQ7/'FY21 FTE'!BQ$120</f>
        <v>0</v>
      </c>
      <c r="BR7" s="28">
        <f>'FY21 Final Initial $$'!BR7/'FY21 FTE'!BR$120</f>
        <v>0</v>
      </c>
      <c r="BS7" s="28">
        <f>'FY21 Final Initial $$'!BS7/'FY21 FTE'!BS$120</f>
        <v>0</v>
      </c>
      <c r="BT7" s="28">
        <f>'FY21 Final Initial $$'!BT7/'FY21 FTE'!BT$120</f>
        <v>0</v>
      </c>
      <c r="BU7" s="28">
        <f>'FY21 Final Initial $$'!BU7/'FY21 FTE'!BU$120</f>
        <v>0</v>
      </c>
      <c r="BV7" s="28">
        <f>'FY21 Final Initial $$'!BV7/'FY21 FTE'!BV$120</f>
        <v>0</v>
      </c>
      <c r="BW7" s="28">
        <f>'FY21 Final Initial $$'!BW7/'FY21 FTE'!BW$120</f>
        <v>0</v>
      </c>
      <c r="BX7" s="20">
        <v>0</v>
      </c>
      <c r="BY7" s="20">
        <v>0</v>
      </c>
      <c r="BZ7" s="20">
        <v>0</v>
      </c>
      <c r="CA7" s="20">
        <v>0</v>
      </c>
      <c r="CB7" s="28">
        <f>'FY21 Final Initial $$'!CB7/'FY21 FTE'!CB$120</f>
        <v>0</v>
      </c>
      <c r="CC7" s="28">
        <f>'FY21 Final Initial $$'!CC7/'FY21 FTE'!CC$120</f>
        <v>0</v>
      </c>
      <c r="CD7" s="20">
        <v>0</v>
      </c>
      <c r="CE7" s="28">
        <f>'FY21 Final Initial $$'!CE7/'FY21 FTE'!CE$120</f>
        <v>0</v>
      </c>
      <c r="CF7" s="28">
        <f>'FY21 Final Initial $$'!CF7/'FY21 FTE'!CF$120</f>
        <v>0</v>
      </c>
      <c r="CG7" s="28">
        <f>'FY21 Final Initial $$'!CG7/'FY21 FTE'!CG$120</f>
        <v>0</v>
      </c>
      <c r="CH7" s="28">
        <f>'FY21 Final Initial $$'!CH7/'FY21 FTE'!CH$120</f>
        <v>0</v>
      </c>
      <c r="CI7" s="28">
        <f>'FY21 Final Initial $$'!CI7/'FY21 FTE'!CI$120</f>
        <v>0</v>
      </c>
      <c r="CJ7" s="28">
        <f>'FY21 Final Initial $$'!CJ7/'FY21 FTE'!CJ$120</f>
        <v>0</v>
      </c>
      <c r="CK7" s="28">
        <f>'FY21 Final Initial $$'!CK7/'FY21 FTE'!CK$120</f>
        <v>0</v>
      </c>
      <c r="CL7" s="28">
        <f>'FY21 Final Initial $$'!CL7/'FY21 FTE'!CL$120</f>
        <v>0</v>
      </c>
      <c r="CM7" s="20">
        <v>0</v>
      </c>
      <c r="CN7" s="20">
        <v>0</v>
      </c>
      <c r="CO7" s="20">
        <v>111843.51999999999</v>
      </c>
      <c r="CP7" s="20">
        <v>0</v>
      </c>
      <c r="CQ7" s="28">
        <f>'FY21 Final Initial $$'!CQ7/'FY21 FTE'!CQ$120</f>
        <v>0</v>
      </c>
      <c r="CR7" s="20">
        <v>0</v>
      </c>
      <c r="CS7" s="20">
        <v>4520</v>
      </c>
      <c r="CT7" s="20">
        <v>0</v>
      </c>
      <c r="CU7" s="20">
        <v>36601.476539589443</v>
      </c>
      <c r="CV7" s="28">
        <f>'FY21 Final Initial $$'!CV7/'FY21 FTE'!CV$120</f>
        <v>0</v>
      </c>
      <c r="CW7" s="28">
        <f>'FY21 Final Initial $$'!CW7/'FY21 FTE'!CW$120</f>
        <v>0</v>
      </c>
      <c r="CX7" s="20">
        <v>0</v>
      </c>
      <c r="CY7" s="28">
        <f>'FY21 Final Initial $$'!CY7/'FY21 FTE'!CY$120</f>
        <v>0</v>
      </c>
      <c r="CZ7" s="20">
        <v>0</v>
      </c>
      <c r="DA7" s="20">
        <v>0</v>
      </c>
      <c r="DB7" s="20">
        <v>65500</v>
      </c>
      <c r="DC7" s="20">
        <v>148153.71402129438</v>
      </c>
      <c r="DD7" s="20">
        <v>0</v>
      </c>
      <c r="DE7" s="20">
        <v>0</v>
      </c>
      <c r="DF7" s="20">
        <v>0</v>
      </c>
      <c r="DG7" s="20">
        <v>0</v>
      </c>
      <c r="DH7" s="28">
        <f>'FY21 Final Initial $$'!DH7/'FY21 FTE'!DH$120</f>
        <v>0</v>
      </c>
      <c r="DI7" s="20"/>
      <c r="DJ7" s="20">
        <v>18150</v>
      </c>
      <c r="DK7" s="22">
        <v>0</v>
      </c>
      <c r="DL7" s="20">
        <v>0</v>
      </c>
      <c r="DM7" s="20">
        <v>0</v>
      </c>
      <c r="DN7" s="20">
        <v>9936069.6191505957</v>
      </c>
      <c r="DO7" s="29">
        <f t="shared" si="1"/>
        <v>10</v>
      </c>
      <c r="DP7" s="29">
        <f t="shared" si="1"/>
        <v>10</v>
      </c>
      <c r="DQ7" s="29">
        <f t="shared" si="2"/>
        <v>19.000000000000004</v>
      </c>
      <c r="DR7" s="29">
        <f t="shared" si="3"/>
        <v>33</v>
      </c>
      <c r="DS7" s="29">
        <f t="shared" si="4"/>
        <v>5</v>
      </c>
    </row>
    <row r="8" spans="1:123" x14ac:dyDescent="0.25">
      <c r="A8" s="18">
        <v>1058</v>
      </c>
      <c r="B8" t="s">
        <v>144</v>
      </c>
      <c r="C8" t="s">
        <v>138</v>
      </c>
      <c r="D8">
        <v>7</v>
      </c>
      <c r="E8">
        <v>330</v>
      </c>
      <c r="F8" s="19">
        <f t="shared" si="0"/>
        <v>0.47575757575757577</v>
      </c>
      <c r="G8">
        <v>157</v>
      </c>
      <c r="H8" s="28">
        <f>'FY21 Final Initial $$'!H8/'FY21 FTE'!H$120</f>
        <v>1</v>
      </c>
      <c r="I8" s="28">
        <f>'FY21 Final Initial $$'!I8/'FY21 FTE'!I$120</f>
        <v>1</v>
      </c>
      <c r="J8" s="28">
        <f>'FY21 Final Initial $$'!J8/'FY21 FTE'!J$120</f>
        <v>1.1000000000000001</v>
      </c>
      <c r="K8" s="28">
        <f>'FY21 Final Initial $$'!K8/'FY21 FTE'!K$120</f>
        <v>0</v>
      </c>
      <c r="L8" s="28">
        <f>'FY21 Final Initial $$'!L8/'FY21 FTE'!L$120</f>
        <v>1.5000000000000002</v>
      </c>
      <c r="M8" s="28">
        <f>'FY21 Final Initial $$'!M8/'FY21 FTE'!M$120</f>
        <v>1</v>
      </c>
      <c r="N8" s="28">
        <f>'FY21 Final Initial $$'!N8/'FY21 FTE'!N$120</f>
        <v>1</v>
      </c>
      <c r="O8" s="28">
        <f>'FY21 Final Initial $$'!O8/'FY21 FTE'!O$120</f>
        <v>0</v>
      </c>
      <c r="P8" s="28">
        <f>'FY21 Final Initial $$'!P8/'FY21 FTE'!P$120</f>
        <v>1</v>
      </c>
      <c r="Q8" s="28">
        <f>'FY21 Final Initial $$'!Q8/'FY21 FTE'!Q$120</f>
        <v>1.0000004487061702</v>
      </c>
      <c r="R8" s="28">
        <f>'FY21 Final Initial $$'!R8/'FY21 FTE'!R$120</f>
        <v>0</v>
      </c>
      <c r="S8" s="28">
        <f>'FY21 Final Initial $$'!S8/'FY21 FTE'!S$120</f>
        <v>1</v>
      </c>
      <c r="T8" s="28">
        <f>'FY21 Final Initial $$'!T8/'FY21 FTE'!T$120</f>
        <v>1</v>
      </c>
      <c r="U8" s="28">
        <f>'FY21 Final Initial $$'!U8/'FY21 FTE'!U$120</f>
        <v>2</v>
      </c>
      <c r="V8" s="28">
        <f>'FY21 Final Initial $$'!V8/'FY21 FTE'!V$120</f>
        <v>1</v>
      </c>
      <c r="W8" s="28">
        <f>'FY21 Final Initial $$'!W8/'FY21 FTE'!W$120</f>
        <v>0</v>
      </c>
      <c r="X8" s="28">
        <f>'FY21 Final Initial $$'!X8/'FY21 FTE'!X$120</f>
        <v>0</v>
      </c>
      <c r="Y8" s="28">
        <f>'FY21 Final Initial $$'!Y8/'FY21 FTE'!Y$120</f>
        <v>0</v>
      </c>
      <c r="Z8" s="28">
        <f>'FY21 Final Initial $$'!Z8/'FY21 FTE'!Z$120</f>
        <v>0</v>
      </c>
      <c r="AA8" s="28">
        <f>'FY21 Final Initial $$'!AA8/'FY21 FTE'!AA$120</f>
        <v>0</v>
      </c>
      <c r="AB8" s="28">
        <f>'FY21 Final Initial $$'!AB8/'FY21 FTE'!AB$120</f>
        <v>0</v>
      </c>
      <c r="AC8" s="28">
        <f>'FY21 Final Initial $$'!AC8/'FY21 FTE'!AC$120</f>
        <v>0</v>
      </c>
      <c r="AD8" s="28">
        <f>'FY21 Final Initial $$'!AD8/'FY21 FTE'!AD$120</f>
        <v>0</v>
      </c>
      <c r="AE8" s="28">
        <f>'FY21 Final Initial $$'!AE8/'FY21 FTE'!AE$120</f>
        <v>0</v>
      </c>
      <c r="AF8" s="28">
        <f>'FY21 Final Initial $$'!AF8/'FY21 FTE'!AF$120</f>
        <v>0</v>
      </c>
      <c r="AG8" s="28">
        <f>'FY21 Final Initial $$'!AG8/'FY21 FTE'!AG$120</f>
        <v>0</v>
      </c>
      <c r="AH8" s="28">
        <f>'FY21 Final Initial $$'!AH8/'FY21 FTE'!AH$120</f>
        <v>0</v>
      </c>
      <c r="AI8" s="28">
        <f>'FY21 Final Initial $$'!AI8/'FY21 FTE'!AI$120</f>
        <v>0</v>
      </c>
      <c r="AJ8" s="28">
        <f>'FY21 Final Initial $$'!AJ8/'FY21 FTE'!AJ$120</f>
        <v>0</v>
      </c>
      <c r="AK8" s="28">
        <f>'FY21 Final Initial $$'!AK8/'FY21 FTE'!AK$120</f>
        <v>0</v>
      </c>
      <c r="AL8" s="28">
        <f>'FY21 Final Initial $$'!AL8/'FY21 FTE'!AL$120</f>
        <v>0</v>
      </c>
      <c r="AM8" s="28">
        <f>'FY21 Final Initial $$'!AM8/'FY21 FTE'!AM$120</f>
        <v>0</v>
      </c>
      <c r="AN8" s="28">
        <f>'FY21 Final Initial $$'!AN8/'FY21 FTE'!AN$120</f>
        <v>0</v>
      </c>
      <c r="AO8" s="28">
        <f>'FY21 Final Initial $$'!AO8/'FY21 FTE'!AO$120</f>
        <v>0</v>
      </c>
      <c r="AP8" s="28">
        <f>'FY21 Final Initial $$'!AP8/'FY21 FTE'!AP$120</f>
        <v>0</v>
      </c>
      <c r="AQ8" s="28">
        <f>'FY21 Final Initial $$'!AQ8/'FY21 FTE'!AQ$120</f>
        <v>0</v>
      </c>
      <c r="AR8" s="28">
        <f>'FY21 Final Initial $$'!AR8/'FY21 FTE'!AR$120</f>
        <v>6</v>
      </c>
      <c r="AS8" s="28">
        <f>'FY21 Final Initial $$'!AS8/'FY21 FTE'!AS$120</f>
        <v>5.8</v>
      </c>
      <c r="AT8" s="28">
        <f>'FY21 Final Initial $$'!AT8/'FY21 FTE'!AT$120</f>
        <v>1.3</v>
      </c>
      <c r="AU8" s="28">
        <f>'FY21 Final Initial $$'!AU8/'FY21 FTE'!AU$120</f>
        <v>0.6</v>
      </c>
      <c r="AV8" s="28">
        <f>'FY21 Final Initial $$'!AV8/'FY21 FTE'!AV$120</f>
        <v>0</v>
      </c>
      <c r="AW8" s="28">
        <f>'FY21 Final Initial $$'!AW8/'FY21 FTE'!AW$120</f>
        <v>0</v>
      </c>
      <c r="AX8" s="28">
        <f>'FY21 Final Initial $$'!AX8/'FY21 FTE'!AX$120</f>
        <v>0</v>
      </c>
      <c r="AY8" s="28">
        <f>'FY21 Final Initial $$'!AY8/'FY21 FTE'!AY$120</f>
        <v>0.5</v>
      </c>
      <c r="AZ8" s="28">
        <f>'FY21 Final Initial $$'!AZ8/'FY21 FTE'!AZ$120</f>
        <v>1</v>
      </c>
      <c r="BA8" s="28">
        <f>'FY21 Final Initial $$'!BA8/'FY21 FTE'!BA$120</f>
        <v>2</v>
      </c>
      <c r="BB8" s="28">
        <f>'FY21 Final Initial $$'!BB8/'FY21 FTE'!BB$120</f>
        <v>0</v>
      </c>
      <c r="BC8" s="28">
        <f>'FY21 Final Initial $$'!BC8/'FY21 FTE'!BC$120</f>
        <v>0</v>
      </c>
      <c r="BD8" s="28">
        <f>'FY21 Final Initial $$'!BD8/'FY21 FTE'!BD$120</f>
        <v>0</v>
      </c>
      <c r="BE8" s="28">
        <f>'FY21 Final Initial $$'!BE8/'FY21 FTE'!BE$120</f>
        <v>0.22727272727272727</v>
      </c>
      <c r="BF8" s="28">
        <f>'FY21 Final Initial $$'!BF8/'FY21 FTE'!BF$120</f>
        <v>0</v>
      </c>
      <c r="BG8" s="28">
        <f>'FY21 Final Initial $$'!BG8/'FY21 FTE'!BG$120</f>
        <v>0</v>
      </c>
      <c r="BH8" s="28">
        <f>'FY21 Final Initial $$'!BH8/'FY21 FTE'!BH$120</f>
        <v>0</v>
      </c>
      <c r="BI8" s="28">
        <f>'FY21 Final Initial $$'!BI8/'FY21 FTE'!BI$120</f>
        <v>0</v>
      </c>
      <c r="BJ8" s="28">
        <f>'FY21 Final Initial $$'!BJ8/'FY21 FTE'!BJ$120</f>
        <v>0</v>
      </c>
      <c r="BK8" s="20">
        <v>0</v>
      </c>
      <c r="BL8" s="20"/>
      <c r="BM8" s="20"/>
      <c r="BN8" s="20">
        <v>53412.85</v>
      </c>
      <c r="BO8" s="20">
        <v>864.91</v>
      </c>
      <c r="BP8" s="20">
        <v>0</v>
      </c>
      <c r="BQ8" s="28">
        <f>'FY21 Final Initial $$'!BQ8/'FY21 FTE'!BQ$120</f>
        <v>0</v>
      </c>
      <c r="BR8" s="28">
        <f>'FY21 Final Initial $$'!BR8/'FY21 FTE'!BR$120</f>
        <v>0</v>
      </c>
      <c r="BS8" s="28">
        <f>'FY21 Final Initial $$'!BS8/'FY21 FTE'!BS$120</f>
        <v>0</v>
      </c>
      <c r="BT8" s="28">
        <f>'FY21 Final Initial $$'!BT8/'FY21 FTE'!BT$120</f>
        <v>0</v>
      </c>
      <c r="BU8" s="28">
        <f>'FY21 Final Initial $$'!BU8/'FY21 FTE'!BU$120</f>
        <v>0</v>
      </c>
      <c r="BV8" s="28">
        <f>'FY21 Final Initial $$'!BV8/'FY21 FTE'!BV$120</f>
        <v>0</v>
      </c>
      <c r="BW8" s="28">
        <f>'FY21 Final Initial $$'!BW8/'FY21 FTE'!BW$120</f>
        <v>0</v>
      </c>
      <c r="BX8" s="20">
        <v>0</v>
      </c>
      <c r="BY8" s="20">
        <v>0</v>
      </c>
      <c r="BZ8" s="20">
        <v>0</v>
      </c>
      <c r="CA8" s="20">
        <v>0</v>
      </c>
      <c r="CB8" s="28">
        <f>'FY21 Final Initial $$'!CB8/'FY21 FTE'!CB$120</f>
        <v>0</v>
      </c>
      <c r="CC8" s="28">
        <f>'FY21 Final Initial $$'!CC8/'FY21 FTE'!CC$120</f>
        <v>0</v>
      </c>
      <c r="CD8" s="20">
        <v>0</v>
      </c>
      <c r="CE8" s="28">
        <f>'FY21 Final Initial $$'!CE8/'FY21 FTE'!CE$120</f>
        <v>0</v>
      </c>
      <c r="CF8" s="28">
        <f>'FY21 Final Initial $$'!CF8/'FY21 FTE'!CF$120</f>
        <v>0</v>
      </c>
      <c r="CG8" s="28">
        <f>'FY21 Final Initial $$'!CG8/'FY21 FTE'!CG$120</f>
        <v>0</v>
      </c>
      <c r="CH8" s="28">
        <f>'FY21 Final Initial $$'!CH8/'FY21 FTE'!CH$120</f>
        <v>0</v>
      </c>
      <c r="CI8" s="28">
        <f>'FY21 Final Initial $$'!CI8/'FY21 FTE'!CI$120</f>
        <v>0</v>
      </c>
      <c r="CJ8" s="28">
        <f>'FY21 Final Initial $$'!CJ8/'FY21 FTE'!CJ$120</f>
        <v>0</v>
      </c>
      <c r="CK8" s="28">
        <f>'FY21 Final Initial $$'!CK8/'FY21 FTE'!CK$120</f>
        <v>0</v>
      </c>
      <c r="CL8" s="28">
        <f>'FY21 Final Initial $$'!CL8/'FY21 FTE'!CL$120</f>
        <v>0</v>
      </c>
      <c r="CM8" s="20">
        <v>0</v>
      </c>
      <c r="CN8" s="20">
        <v>0</v>
      </c>
      <c r="CO8" s="20">
        <v>188124.15999999997</v>
      </c>
      <c r="CP8" s="20">
        <v>0</v>
      </c>
      <c r="CQ8" s="28">
        <f>'FY21 Final Initial $$'!CQ8/'FY21 FTE'!CQ$120</f>
        <v>0</v>
      </c>
      <c r="CR8" s="20">
        <v>0</v>
      </c>
      <c r="CS8" s="20">
        <v>0</v>
      </c>
      <c r="CT8" s="20">
        <v>0</v>
      </c>
      <c r="CU8" s="20">
        <v>39828.5</v>
      </c>
      <c r="CV8" s="28">
        <f>'FY21 Final Initial $$'!CV8/'FY21 FTE'!CV$120</f>
        <v>0</v>
      </c>
      <c r="CW8" s="28">
        <f>'FY21 Final Initial $$'!CW8/'FY21 FTE'!CW$120</f>
        <v>0</v>
      </c>
      <c r="CX8" s="20">
        <v>0</v>
      </c>
      <c r="CY8" s="28">
        <f>'FY21 Final Initial $$'!CY8/'FY21 FTE'!CY$120</f>
        <v>0</v>
      </c>
      <c r="CZ8" s="20">
        <v>0</v>
      </c>
      <c r="DA8" s="20">
        <v>0</v>
      </c>
      <c r="DB8" s="20">
        <v>33000</v>
      </c>
      <c r="DC8" s="20">
        <v>51637.128680034184</v>
      </c>
      <c r="DD8" s="20">
        <v>0</v>
      </c>
      <c r="DE8" s="20">
        <v>0</v>
      </c>
      <c r="DF8" s="20">
        <v>0</v>
      </c>
      <c r="DG8" s="20">
        <v>0</v>
      </c>
      <c r="DH8" s="28">
        <f>'FY21 Final Initial $$'!DH8/'FY21 FTE'!DH$120</f>
        <v>0</v>
      </c>
      <c r="DI8" s="20"/>
      <c r="DJ8" s="20">
        <v>18152</v>
      </c>
      <c r="DK8" s="22">
        <v>0</v>
      </c>
      <c r="DL8" s="20">
        <v>0</v>
      </c>
      <c r="DM8" s="20">
        <v>0</v>
      </c>
      <c r="DN8" s="20">
        <v>3592294.6219740827</v>
      </c>
      <c r="DO8" s="29">
        <f t="shared" si="1"/>
        <v>0</v>
      </c>
      <c r="DP8" s="29">
        <f t="shared" si="1"/>
        <v>0</v>
      </c>
      <c r="DQ8" s="29">
        <f t="shared" si="2"/>
        <v>13.700000000000001</v>
      </c>
      <c r="DR8" s="29">
        <f t="shared" si="3"/>
        <v>3.7272727272727271</v>
      </c>
      <c r="DS8" s="29">
        <f t="shared" si="4"/>
        <v>0</v>
      </c>
    </row>
    <row r="9" spans="1:123" x14ac:dyDescent="0.25">
      <c r="A9" s="18">
        <v>205</v>
      </c>
      <c r="B9" t="s">
        <v>145</v>
      </c>
      <c r="C9" t="s">
        <v>135</v>
      </c>
      <c r="D9">
        <v>4</v>
      </c>
      <c r="E9">
        <v>657</v>
      </c>
      <c r="F9" s="19">
        <f t="shared" si="0"/>
        <v>0.46118721461187212</v>
      </c>
      <c r="G9">
        <v>303</v>
      </c>
      <c r="H9" s="28">
        <f>'FY21 Final Initial $$'!H9/'FY21 FTE'!H$120</f>
        <v>1</v>
      </c>
      <c r="I9" s="28">
        <f>'FY21 Final Initial $$'!I9/'FY21 FTE'!I$120</f>
        <v>1</v>
      </c>
      <c r="J9" s="28">
        <f>'FY21 Final Initial $$'!J9/'FY21 FTE'!J$120</f>
        <v>1.6</v>
      </c>
      <c r="K9" s="28">
        <f>'FY21 Final Initial $$'!K9/'FY21 FTE'!K$120</f>
        <v>0</v>
      </c>
      <c r="L9" s="28">
        <f>'FY21 Final Initial $$'!L9/'FY21 FTE'!L$120</f>
        <v>0</v>
      </c>
      <c r="M9" s="28">
        <f>'FY21 Final Initial $$'!M9/'FY21 FTE'!M$120</f>
        <v>1</v>
      </c>
      <c r="N9" s="28">
        <f>'FY21 Final Initial $$'!N9/'FY21 FTE'!N$120</f>
        <v>1</v>
      </c>
      <c r="O9" s="28">
        <f>'FY21 Final Initial $$'!O9/'FY21 FTE'!O$120</f>
        <v>1.6</v>
      </c>
      <c r="P9" s="28">
        <f>'FY21 Final Initial $$'!P9/'FY21 FTE'!P$120</f>
        <v>0</v>
      </c>
      <c r="Q9" s="28">
        <f>'FY21 Final Initial $$'!Q9/'FY21 FTE'!Q$120</f>
        <v>0</v>
      </c>
      <c r="R9" s="28">
        <f>'FY21 Final Initial $$'!R9/'FY21 FTE'!R$120</f>
        <v>0</v>
      </c>
      <c r="S9" s="28">
        <f>'FY21 Final Initial $$'!S9/'FY21 FTE'!S$120</f>
        <v>1</v>
      </c>
      <c r="T9" s="28">
        <f>'FY21 Final Initial $$'!T9/'FY21 FTE'!T$120</f>
        <v>1</v>
      </c>
      <c r="U9" s="28">
        <f>'FY21 Final Initial $$'!U9/'FY21 FTE'!U$120</f>
        <v>3</v>
      </c>
      <c r="V9" s="28">
        <f>'FY21 Final Initial $$'!V9/'FY21 FTE'!V$120</f>
        <v>1</v>
      </c>
      <c r="W9" s="28">
        <f>'FY21 Final Initial $$'!W9/'FY21 FTE'!W$120</f>
        <v>1</v>
      </c>
      <c r="X9" s="28">
        <f>'FY21 Final Initial $$'!X9/'FY21 FTE'!X$120</f>
        <v>1</v>
      </c>
      <c r="Y9" s="28">
        <f>'FY21 Final Initial $$'!Y9/'FY21 FTE'!Y$120</f>
        <v>1</v>
      </c>
      <c r="Z9" s="28">
        <f>'FY21 Final Initial $$'!Z9/'FY21 FTE'!Z$120</f>
        <v>2.5</v>
      </c>
      <c r="AA9" s="28">
        <f>'FY21 Final Initial $$'!AA9/'FY21 FTE'!AA$120</f>
        <v>0</v>
      </c>
      <c r="AB9" s="28">
        <f>'FY21 Final Initial $$'!AB9/'FY21 FTE'!AB$120</f>
        <v>4</v>
      </c>
      <c r="AC9" s="28">
        <f>'FY21 Final Initial $$'!AC9/'FY21 FTE'!AC$120</f>
        <v>4</v>
      </c>
      <c r="AD9" s="28">
        <f>'FY21 Final Initial $$'!AD9/'FY21 FTE'!AD$120</f>
        <v>0</v>
      </c>
      <c r="AE9" s="28">
        <f>'FY21 Final Initial $$'!AE9/'FY21 FTE'!AE$120</f>
        <v>0</v>
      </c>
      <c r="AF9" s="28">
        <f>'FY21 Final Initial $$'!AF9/'FY21 FTE'!AF$120</f>
        <v>4</v>
      </c>
      <c r="AG9" s="28">
        <f>'FY21 Final Initial $$'!AG9/'FY21 FTE'!AG$120</f>
        <v>4</v>
      </c>
      <c r="AH9" s="28">
        <f>'FY21 Final Initial $$'!AH9/'FY21 FTE'!AH$120</f>
        <v>4</v>
      </c>
      <c r="AI9" s="28">
        <f>'FY21 Final Initial $$'!AI9/'FY21 FTE'!AI$120</f>
        <v>4</v>
      </c>
      <c r="AJ9" s="28">
        <f>'FY21 Final Initial $$'!AJ9/'FY21 FTE'!AJ$120</f>
        <v>4</v>
      </c>
      <c r="AK9" s="28">
        <f>'FY21 Final Initial $$'!AK9/'FY21 FTE'!AK$120</f>
        <v>4</v>
      </c>
      <c r="AL9" s="28">
        <f>'FY21 Final Initial $$'!AL9/'FY21 FTE'!AL$120</f>
        <v>4</v>
      </c>
      <c r="AM9" s="28">
        <f>'FY21 Final Initial $$'!AM9/'FY21 FTE'!AM$120</f>
        <v>3</v>
      </c>
      <c r="AN9" s="28">
        <f>'FY21 Final Initial $$'!AN9/'FY21 FTE'!AN$120</f>
        <v>4.0000000000000053</v>
      </c>
      <c r="AO9" s="28">
        <f>'FY21 Final Initial $$'!AO9/'FY21 FTE'!AO$120</f>
        <v>0</v>
      </c>
      <c r="AP9" s="28">
        <f>'FY21 Final Initial $$'!AP9/'FY21 FTE'!AP$120</f>
        <v>0</v>
      </c>
      <c r="AQ9" s="28">
        <f>'FY21 Final Initial $$'!AQ9/'FY21 FTE'!AQ$120</f>
        <v>0</v>
      </c>
      <c r="AR9" s="28">
        <f>'FY21 Final Initial $$'!AR9/'FY21 FTE'!AR$120</f>
        <v>0</v>
      </c>
      <c r="AS9" s="28">
        <f>'FY21 Final Initial $$'!AS9/'FY21 FTE'!AS$120</f>
        <v>0</v>
      </c>
      <c r="AT9" s="28">
        <f>'FY21 Final Initial $$'!AT9/'FY21 FTE'!AT$120</f>
        <v>0</v>
      </c>
      <c r="AU9" s="28">
        <f>'FY21 Final Initial $$'!AU9/'FY21 FTE'!AU$120</f>
        <v>0</v>
      </c>
      <c r="AV9" s="28">
        <f>'FY21 Final Initial $$'!AV9/'FY21 FTE'!AV$120</f>
        <v>0</v>
      </c>
      <c r="AW9" s="28">
        <f>'FY21 Final Initial $$'!AW9/'FY21 FTE'!AW$120</f>
        <v>0</v>
      </c>
      <c r="AX9" s="28">
        <f>'FY21 Final Initial $$'!AX9/'FY21 FTE'!AX$120</f>
        <v>0</v>
      </c>
      <c r="AY9" s="28">
        <f>'FY21 Final Initial $$'!AY9/'FY21 FTE'!AY$120</f>
        <v>1</v>
      </c>
      <c r="AZ9" s="28">
        <f>'FY21 Final Initial $$'!AZ9/'FY21 FTE'!AZ$120</f>
        <v>2</v>
      </c>
      <c r="BA9" s="28">
        <f>'FY21 Final Initial $$'!BA9/'FY21 FTE'!BA$120</f>
        <v>7</v>
      </c>
      <c r="BB9" s="28">
        <f>'FY21 Final Initial $$'!BB9/'FY21 FTE'!BB$120</f>
        <v>6</v>
      </c>
      <c r="BC9" s="28">
        <f>'FY21 Final Initial $$'!BC9/'FY21 FTE'!BC$120</f>
        <v>0</v>
      </c>
      <c r="BD9" s="28">
        <f>'FY21 Final Initial $$'!BD9/'FY21 FTE'!BD$120</f>
        <v>0</v>
      </c>
      <c r="BE9" s="28">
        <f>'FY21 Final Initial $$'!BE9/'FY21 FTE'!BE$120</f>
        <v>14.5</v>
      </c>
      <c r="BF9" s="28">
        <f>'FY21 Final Initial $$'!BF9/'FY21 FTE'!BF$120</f>
        <v>0</v>
      </c>
      <c r="BG9" s="28">
        <f>'FY21 Final Initial $$'!BG9/'FY21 FTE'!BG$120</f>
        <v>3</v>
      </c>
      <c r="BH9" s="28">
        <f>'FY21 Final Initial $$'!BH9/'FY21 FTE'!BH$120</f>
        <v>11</v>
      </c>
      <c r="BI9" s="28">
        <f>'FY21 Final Initial $$'!BI9/'FY21 FTE'!BI$120</f>
        <v>11</v>
      </c>
      <c r="BJ9" s="28">
        <f>'FY21 Final Initial $$'!BJ9/'FY21 FTE'!BJ$120</f>
        <v>1</v>
      </c>
      <c r="BK9" s="20">
        <v>0</v>
      </c>
      <c r="BL9" s="20"/>
      <c r="BM9" s="20"/>
      <c r="BN9" s="20">
        <v>275308.95</v>
      </c>
      <c r="BO9" s="20">
        <v>4554.68</v>
      </c>
      <c r="BP9" s="20">
        <v>0</v>
      </c>
      <c r="BQ9" s="28">
        <f>'FY21 Final Initial $$'!BQ9/'FY21 FTE'!BQ$120</f>
        <v>0</v>
      </c>
      <c r="BR9" s="28">
        <f>'FY21 Final Initial $$'!BR9/'FY21 FTE'!BR$120</f>
        <v>0</v>
      </c>
      <c r="BS9" s="28">
        <f>'FY21 Final Initial $$'!BS9/'FY21 FTE'!BS$120</f>
        <v>0</v>
      </c>
      <c r="BT9" s="28">
        <f>'FY21 Final Initial $$'!BT9/'FY21 FTE'!BT$120</f>
        <v>0</v>
      </c>
      <c r="BU9" s="28">
        <f>'FY21 Final Initial $$'!BU9/'FY21 FTE'!BU$120</f>
        <v>0</v>
      </c>
      <c r="BV9" s="28">
        <f>'FY21 Final Initial $$'!BV9/'FY21 FTE'!BV$120</f>
        <v>0</v>
      </c>
      <c r="BW9" s="28">
        <f>'FY21 Final Initial $$'!BW9/'FY21 FTE'!BW$120</f>
        <v>0</v>
      </c>
      <c r="BX9" s="20">
        <v>0</v>
      </c>
      <c r="BY9" s="20">
        <v>0</v>
      </c>
      <c r="BZ9" s="20">
        <v>0</v>
      </c>
      <c r="CA9" s="20">
        <v>0</v>
      </c>
      <c r="CB9" s="28">
        <f>'FY21 Final Initial $$'!CB9/'FY21 FTE'!CB$120</f>
        <v>0</v>
      </c>
      <c r="CC9" s="28">
        <f>'FY21 Final Initial $$'!CC9/'FY21 FTE'!CC$120</f>
        <v>0</v>
      </c>
      <c r="CD9" s="20">
        <v>0</v>
      </c>
      <c r="CE9" s="28">
        <f>'FY21 Final Initial $$'!CE9/'FY21 FTE'!CE$120</f>
        <v>0</v>
      </c>
      <c r="CF9" s="28">
        <f>'FY21 Final Initial $$'!CF9/'FY21 FTE'!CF$120</f>
        <v>0</v>
      </c>
      <c r="CG9" s="28">
        <f>'FY21 Final Initial $$'!CG9/'FY21 FTE'!CG$120</f>
        <v>0</v>
      </c>
      <c r="CH9" s="28">
        <f>'FY21 Final Initial $$'!CH9/'FY21 FTE'!CH$120</f>
        <v>0</v>
      </c>
      <c r="CI9" s="28">
        <f>'FY21 Final Initial $$'!CI9/'FY21 FTE'!CI$120</f>
        <v>0</v>
      </c>
      <c r="CJ9" s="28">
        <f>'FY21 Final Initial $$'!CJ9/'FY21 FTE'!CJ$120</f>
        <v>0</v>
      </c>
      <c r="CK9" s="28">
        <f>'FY21 Final Initial $$'!CK9/'FY21 FTE'!CK$120</f>
        <v>0</v>
      </c>
      <c r="CL9" s="28">
        <f>'FY21 Final Initial $$'!CL9/'FY21 FTE'!CL$120</f>
        <v>0</v>
      </c>
      <c r="CM9" s="20">
        <v>0</v>
      </c>
      <c r="CN9" s="20">
        <v>0</v>
      </c>
      <c r="CO9" s="20">
        <v>111843.51999999999</v>
      </c>
      <c r="CP9" s="20">
        <v>0</v>
      </c>
      <c r="CQ9" s="28">
        <f>'FY21 Final Initial $$'!CQ9/'FY21 FTE'!CQ$120</f>
        <v>0</v>
      </c>
      <c r="CR9" s="20">
        <v>0</v>
      </c>
      <c r="CS9" s="20">
        <v>6060</v>
      </c>
      <c r="CT9" s="20">
        <v>172800</v>
      </c>
      <c r="CU9" s="20">
        <v>33946.542231075699</v>
      </c>
      <c r="CV9" s="28">
        <f>'FY21 Final Initial $$'!CV9/'FY21 FTE'!CV$120</f>
        <v>0</v>
      </c>
      <c r="CW9" s="28">
        <f>'FY21 Final Initial $$'!CW9/'FY21 FTE'!CW$120</f>
        <v>0</v>
      </c>
      <c r="CX9" s="20">
        <v>0</v>
      </c>
      <c r="CY9" s="28">
        <f>'FY21 Final Initial $$'!CY9/'FY21 FTE'!CY$120</f>
        <v>0</v>
      </c>
      <c r="CZ9" s="20">
        <v>0</v>
      </c>
      <c r="DA9" s="20">
        <v>0</v>
      </c>
      <c r="DB9" s="20">
        <v>65700</v>
      </c>
      <c r="DC9" s="20">
        <v>145500.39712489111</v>
      </c>
      <c r="DD9" s="20">
        <v>0</v>
      </c>
      <c r="DE9" s="20">
        <v>0</v>
      </c>
      <c r="DF9" s="20">
        <v>0</v>
      </c>
      <c r="DG9" s="20">
        <v>0</v>
      </c>
      <c r="DH9" s="28">
        <f>'FY21 Final Initial $$'!DH9/'FY21 FTE'!DH$120</f>
        <v>0</v>
      </c>
      <c r="DI9" s="20"/>
      <c r="DJ9" s="20">
        <v>22275.000336021185</v>
      </c>
      <c r="DK9" s="22">
        <v>0</v>
      </c>
      <c r="DL9" s="20">
        <v>0</v>
      </c>
      <c r="DM9" s="20">
        <v>0</v>
      </c>
      <c r="DN9" s="20">
        <v>10013940.836579634</v>
      </c>
      <c r="DO9" s="29">
        <f t="shared" si="1"/>
        <v>12</v>
      </c>
      <c r="DP9" s="29">
        <f t="shared" si="1"/>
        <v>12</v>
      </c>
      <c r="DQ9" s="29">
        <f t="shared" si="2"/>
        <v>19.000000000000007</v>
      </c>
      <c r="DR9" s="29">
        <f t="shared" si="3"/>
        <v>27.5</v>
      </c>
      <c r="DS9" s="29">
        <f t="shared" si="4"/>
        <v>6</v>
      </c>
    </row>
    <row r="10" spans="1:123" x14ac:dyDescent="0.25">
      <c r="A10" s="18">
        <v>206</v>
      </c>
      <c r="B10" t="s">
        <v>146</v>
      </c>
      <c r="C10" t="s">
        <v>135</v>
      </c>
      <c r="D10">
        <v>7</v>
      </c>
      <c r="E10">
        <v>482</v>
      </c>
      <c r="F10" s="19">
        <f t="shared" si="0"/>
        <v>0.53526970954356845</v>
      </c>
      <c r="G10">
        <v>258</v>
      </c>
      <c r="H10" s="28">
        <f>'FY21 Final Initial $$'!H10/'FY21 FTE'!H$120</f>
        <v>1</v>
      </c>
      <c r="I10" s="28">
        <f>'FY21 Final Initial $$'!I10/'FY21 FTE'!I$120</f>
        <v>1</v>
      </c>
      <c r="J10" s="28">
        <f>'FY21 Final Initial $$'!J10/'FY21 FTE'!J$120</f>
        <v>1.2</v>
      </c>
      <c r="K10" s="28">
        <f>'FY21 Final Initial $$'!K10/'FY21 FTE'!K$120</f>
        <v>0</v>
      </c>
      <c r="L10" s="28">
        <f>'FY21 Final Initial $$'!L10/'FY21 FTE'!L$120</f>
        <v>0</v>
      </c>
      <c r="M10" s="28">
        <f>'FY21 Final Initial $$'!M10/'FY21 FTE'!M$120</f>
        <v>1</v>
      </c>
      <c r="N10" s="28">
        <f>'FY21 Final Initial $$'!N10/'FY21 FTE'!N$120</f>
        <v>1</v>
      </c>
      <c r="O10" s="28">
        <f>'FY21 Final Initial $$'!O10/'FY21 FTE'!O$120</f>
        <v>1.2</v>
      </c>
      <c r="P10" s="28">
        <f>'FY21 Final Initial $$'!P10/'FY21 FTE'!P$120</f>
        <v>0</v>
      </c>
      <c r="Q10" s="28">
        <f>'FY21 Final Initial $$'!Q10/'FY21 FTE'!Q$120</f>
        <v>0</v>
      </c>
      <c r="R10" s="28">
        <f>'FY21 Final Initial $$'!R10/'FY21 FTE'!R$120</f>
        <v>0</v>
      </c>
      <c r="S10" s="28">
        <f>'FY21 Final Initial $$'!S10/'FY21 FTE'!S$120</f>
        <v>1</v>
      </c>
      <c r="T10" s="28">
        <f>'FY21 Final Initial $$'!T10/'FY21 FTE'!T$120</f>
        <v>1</v>
      </c>
      <c r="U10" s="28">
        <f>'FY21 Final Initial $$'!U10/'FY21 FTE'!U$120</f>
        <v>2</v>
      </c>
      <c r="V10" s="28">
        <f>'FY21 Final Initial $$'!V10/'FY21 FTE'!V$120</f>
        <v>1</v>
      </c>
      <c r="W10" s="28">
        <f>'FY21 Final Initial $$'!W10/'FY21 FTE'!W$120</f>
        <v>1</v>
      </c>
      <c r="X10" s="28">
        <f>'FY21 Final Initial $$'!X10/'FY21 FTE'!X$120</f>
        <v>1</v>
      </c>
      <c r="Y10" s="28">
        <f>'FY21 Final Initial $$'!Y10/'FY21 FTE'!Y$120</f>
        <v>1</v>
      </c>
      <c r="Z10" s="28">
        <f>'FY21 Final Initial $$'!Z10/'FY21 FTE'!Z$120</f>
        <v>1.5</v>
      </c>
      <c r="AA10" s="28">
        <f>'FY21 Final Initial $$'!AA10/'FY21 FTE'!AA$120</f>
        <v>0</v>
      </c>
      <c r="AB10" s="28">
        <f>'FY21 Final Initial $$'!AB10/'FY21 FTE'!AB$120</f>
        <v>2</v>
      </c>
      <c r="AC10" s="28">
        <f>'FY21 Final Initial $$'!AC10/'FY21 FTE'!AC$120</f>
        <v>2</v>
      </c>
      <c r="AD10" s="28">
        <f>'FY21 Final Initial $$'!AD10/'FY21 FTE'!AD$120</f>
        <v>1</v>
      </c>
      <c r="AE10" s="28">
        <f>'FY21 Final Initial $$'!AE10/'FY21 FTE'!AE$120</f>
        <v>1</v>
      </c>
      <c r="AF10" s="28">
        <f>'FY21 Final Initial $$'!AF10/'FY21 FTE'!AF$120</f>
        <v>2</v>
      </c>
      <c r="AG10" s="28">
        <f>'FY21 Final Initial $$'!AG10/'FY21 FTE'!AG$120</f>
        <v>2</v>
      </c>
      <c r="AH10" s="28">
        <f>'FY21 Final Initial $$'!AH10/'FY21 FTE'!AH$120</f>
        <v>3</v>
      </c>
      <c r="AI10" s="28">
        <f>'FY21 Final Initial $$'!AI10/'FY21 FTE'!AI$120</f>
        <v>3</v>
      </c>
      <c r="AJ10" s="28">
        <f>'FY21 Final Initial $$'!AJ10/'FY21 FTE'!AJ$120</f>
        <v>3</v>
      </c>
      <c r="AK10" s="28">
        <f>'FY21 Final Initial $$'!AK10/'FY21 FTE'!AK$120</f>
        <v>2</v>
      </c>
      <c r="AL10" s="28">
        <f>'FY21 Final Initial $$'!AL10/'FY21 FTE'!AL$120</f>
        <v>4</v>
      </c>
      <c r="AM10" s="28">
        <f>'FY21 Final Initial $$'!AM10/'FY21 FTE'!AM$120</f>
        <v>4</v>
      </c>
      <c r="AN10" s="28">
        <f>'FY21 Final Initial $$'!AN10/'FY21 FTE'!AN$120</f>
        <v>3.000000000000004</v>
      </c>
      <c r="AO10" s="28">
        <f>'FY21 Final Initial $$'!AO10/'FY21 FTE'!AO$120</f>
        <v>0</v>
      </c>
      <c r="AP10" s="28">
        <f>'FY21 Final Initial $$'!AP10/'FY21 FTE'!AP$120</f>
        <v>0</v>
      </c>
      <c r="AQ10" s="28">
        <f>'FY21 Final Initial $$'!AQ10/'FY21 FTE'!AQ$120</f>
        <v>0</v>
      </c>
      <c r="AR10" s="28">
        <f>'FY21 Final Initial $$'!AR10/'FY21 FTE'!AR$120</f>
        <v>0</v>
      </c>
      <c r="AS10" s="28">
        <f>'FY21 Final Initial $$'!AS10/'FY21 FTE'!AS$120</f>
        <v>0</v>
      </c>
      <c r="AT10" s="28">
        <f>'FY21 Final Initial $$'!AT10/'FY21 FTE'!AT$120</f>
        <v>0</v>
      </c>
      <c r="AU10" s="28">
        <f>'FY21 Final Initial $$'!AU10/'FY21 FTE'!AU$120</f>
        <v>0</v>
      </c>
      <c r="AV10" s="28">
        <f>'FY21 Final Initial $$'!AV10/'FY21 FTE'!AV$120</f>
        <v>0</v>
      </c>
      <c r="AW10" s="28">
        <f>'FY21 Final Initial $$'!AW10/'FY21 FTE'!AW$120</f>
        <v>0</v>
      </c>
      <c r="AX10" s="28">
        <f>'FY21 Final Initial $$'!AX10/'FY21 FTE'!AX$120</f>
        <v>0</v>
      </c>
      <c r="AY10" s="28">
        <f>'FY21 Final Initial $$'!AY10/'FY21 FTE'!AY$120</f>
        <v>1</v>
      </c>
      <c r="AZ10" s="28">
        <f>'FY21 Final Initial $$'!AZ10/'FY21 FTE'!AZ$120</f>
        <v>2</v>
      </c>
      <c r="BA10" s="28">
        <f>'FY21 Final Initial $$'!BA10/'FY21 FTE'!BA$120</f>
        <v>9</v>
      </c>
      <c r="BB10" s="28">
        <f>'FY21 Final Initial $$'!BB10/'FY21 FTE'!BB$120</f>
        <v>10</v>
      </c>
      <c r="BC10" s="28">
        <f>'FY21 Final Initial $$'!BC10/'FY21 FTE'!BC$120</f>
        <v>0</v>
      </c>
      <c r="BD10" s="28">
        <f>'FY21 Final Initial $$'!BD10/'FY21 FTE'!BD$120</f>
        <v>1</v>
      </c>
      <c r="BE10" s="28">
        <f>'FY21 Final Initial $$'!BE10/'FY21 FTE'!BE$120</f>
        <v>4.5454545454545456E-2</v>
      </c>
      <c r="BF10" s="28">
        <f>'FY21 Final Initial $$'!BF10/'FY21 FTE'!BF$120</f>
        <v>0</v>
      </c>
      <c r="BG10" s="28">
        <f>'FY21 Final Initial $$'!BG10/'FY21 FTE'!BG$120</f>
        <v>0</v>
      </c>
      <c r="BH10" s="28">
        <f>'FY21 Final Initial $$'!BH10/'FY21 FTE'!BH$120</f>
        <v>5</v>
      </c>
      <c r="BI10" s="28">
        <f>'FY21 Final Initial $$'!BI10/'FY21 FTE'!BI$120</f>
        <v>5</v>
      </c>
      <c r="BJ10" s="28">
        <f>'FY21 Final Initial $$'!BJ10/'FY21 FTE'!BJ$120</f>
        <v>0</v>
      </c>
      <c r="BK10" s="20">
        <v>0</v>
      </c>
      <c r="BL10" s="20"/>
      <c r="BM10" s="20"/>
      <c r="BN10" s="20">
        <v>204137.75</v>
      </c>
      <c r="BO10" s="20">
        <v>3377.23</v>
      </c>
      <c r="BP10" s="20">
        <v>0</v>
      </c>
      <c r="BQ10" s="28">
        <f>'FY21 Final Initial $$'!BQ10/'FY21 FTE'!BQ$120</f>
        <v>0</v>
      </c>
      <c r="BR10" s="28">
        <f>'FY21 Final Initial $$'!BR10/'FY21 FTE'!BR$120</f>
        <v>0</v>
      </c>
      <c r="BS10" s="28">
        <f>'FY21 Final Initial $$'!BS10/'FY21 FTE'!BS$120</f>
        <v>0</v>
      </c>
      <c r="BT10" s="28">
        <f>'FY21 Final Initial $$'!BT10/'FY21 FTE'!BT$120</f>
        <v>0</v>
      </c>
      <c r="BU10" s="28">
        <f>'FY21 Final Initial $$'!BU10/'FY21 FTE'!BU$120</f>
        <v>0</v>
      </c>
      <c r="BV10" s="28">
        <f>'FY21 Final Initial $$'!BV10/'FY21 FTE'!BV$120</f>
        <v>0</v>
      </c>
      <c r="BW10" s="28">
        <f>'FY21 Final Initial $$'!BW10/'FY21 FTE'!BW$120</f>
        <v>0</v>
      </c>
      <c r="BX10" s="20">
        <v>0</v>
      </c>
      <c r="BY10" s="20">
        <v>0</v>
      </c>
      <c r="BZ10" s="20">
        <v>0</v>
      </c>
      <c r="CA10" s="20">
        <v>0</v>
      </c>
      <c r="CB10" s="28">
        <f>'FY21 Final Initial $$'!CB10/'FY21 FTE'!CB$120</f>
        <v>0</v>
      </c>
      <c r="CC10" s="28">
        <f>'FY21 Final Initial $$'!CC10/'FY21 FTE'!CC$120</f>
        <v>0</v>
      </c>
      <c r="CD10" s="20">
        <v>0</v>
      </c>
      <c r="CE10" s="28">
        <f>'FY21 Final Initial $$'!CE10/'FY21 FTE'!CE$120</f>
        <v>0</v>
      </c>
      <c r="CF10" s="28">
        <f>'FY21 Final Initial $$'!CF10/'FY21 FTE'!CF$120</f>
        <v>0</v>
      </c>
      <c r="CG10" s="28">
        <f>'FY21 Final Initial $$'!CG10/'FY21 FTE'!CG$120</f>
        <v>0</v>
      </c>
      <c r="CH10" s="28">
        <f>'FY21 Final Initial $$'!CH10/'FY21 FTE'!CH$120</f>
        <v>0</v>
      </c>
      <c r="CI10" s="28">
        <f>'FY21 Final Initial $$'!CI10/'FY21 FTE'!CI$120</f>
        <v>0</v>
      </c>
      <c r="CJ10" s="28">
        <f>'FY21 Final Initial $$'!CJ10/'FY21 FTE'!CJ$120</f>
        <v>0</v>
      </c>
      <c r="CK10" s="28">
        <f>'FY21 Final Initial $$'!CK10/'FY21 FTE'!CK$120</f>
        <v>0</v>
      </c>
      <c r="CL10" s="28">
        <f>'FY21 Final Initial $$'!CL10/'FY21 FTE'!CL$120</f>
        <v>0</v>
      </c>
      <c r="CM10" s="20">
        <v>0</v>
      </c>
      <c r="CN10" s="20">
        <v>0</v>
      </c>
      <c r="CO10" s="20">
        <v>55921.759999999995</v>
      </c>
      <c r="CP10" s="20">
        <v>0</v>
      </c>
      <c r="CQ10" s="28">
        <f>'FY21 Final Initial $$'!CQ10/'FY21 FTE'!CQ$120</f>
        <v>0</v>
      </c>
      <c r="CR10" s="20">
        <v>0</v>
      </c>
      <c r="CS10" s="20">
        <v>5160</v>
      </c>
      <c r="CT10" s="20">
        <v>0</v>
      </c>
      <c r="CU10" s="20">
        <v>26384.643307086615</v>
      </c>
      <c r="CV10" s="28">
        <f>'FY21 Final Initial $$'!CV10/'FY21 FTE'!CV$120</f>
        <v>0</v>
      </c>
      <c r="CW10" s="28">
        <f>'FY21 Final Initial $$'!CW10/'FY21 FTE'!CW$120</f>
        <v>0</v>
      </c>
      <c r="CX10" s="20">
        <v>0</v>
      </c>
      <c r="CY10" s="28">
        <f>'FY21 Final Initial $$'!CY10/'FY21 FTE'!CY$120</f>
        <v>0</v>
      </c>
      <c r="CZ10" s="20">
        <v>0</v>
      </c>
      <c r="DA10" s="20">
        <v>0</v>
      </c>
      <c r="DB10" s="20">
        <v>48200</v>
      </c>
      <c r="DC10" s="20">
        <v>100606.60863169841</v>
      </c>
      <c r="DD10" s="20">
        <v>0</v>
      </c>
      <c r="DE10" s="20">
        <v>0</v>
      </c>
      <c r="DF10" s="20">
        <v>13859</v>
      </c>
      <c r="DG10" s="20">
        <v>0</v>
      </c>
      <c r="DH10" s="28">
        <f>'FY21 Final Initial $$'!DH10/'FY21 FTE'!DH$120</f>
        <v>0</v>
      </c>
      <c r="DI10" s="20"/>
      <c r="DJ10" s="20">
        <v>31524.999864399433</v>
      </c>
      <c r="DK10" s="22">
        <v>0</v>
      </c>
      <c r="DL10" s="20">
        <v>0</v>
      </c>
      <c r="DM10" s="20">
        <v>0</v>
      </c>
      <c r="DN10" s="20">
        <v>6866909.6707906639</v>
      </c>
      <c r="DO10" s="29">
        <f t="shared" si="1"/>
        <v>8</v>
      </c>
      <c r="DP10" s="29">
        <f t="shared" si="1"/>
        <v>8</v>
      </c>
      <c r="DQ10" s="29">
        <f t="shared" si="2"/>
        <v>16.000000000000004</v>
      </c>
      <c r="DR10" s="29">
        <f t="shared" si="3"/>
        <v>12.045454545454545</v>
      </c>
      <c r="DS10" s="29">
        <f t="shared" si="4"/>
        <v>10</v>
      </c>
    </row>
    <row r="11" spans="1:123" x14ac:dyDescent="0.25">
      <c r="A11" s="18">
        <v>402</v>
      </c>
      <c r="B11" t="s">
        <v>147</v>
      </c>
      <c r="C11" t="s">
        <v>138</v>
      </c>
      <c r="D11">
        <v>1</v>
      </c>
      <c r="E11">
        <v>577</v>
      </c>
      <c r="F11" s="19">
        <f t="shared" si="0"/>
        <v>0.23223570190641249</v>
      </c>
      <c r="G11">
        <v>134</v>
      </c>
      <c r="H11" s="28">
        <f>'FY21 Final Initial $$'!H11/'FY21 FTE'!H$120</f>
        <v>1</v>
      </c>
      <c r="I11" s="28">
        <f>'FY21 Final Initial $$'!I11/'FY21 FTE'!I$120</f>
        <v>1</v>
      </c>
      <c r="J11" s="28">
        <f>'FY21 Final Initial $$'!J11/'FY21 FTE'!J$120</f>
        <v>1.9</v>
      </c>
      <c r="K11" s="28">
        <f>'FY21 Final Initial $$'!K11/'FY21 FTE'!K$120</f>
        <v>0</v>
      </c>
      <c r="L11" s="28">
        <f>'FY21 Final Initial $$'!L11/'FY21 FTE'!L$120</f>
        <v>2.5</v>
      </c>
      <c r="M11" s="28">
        <f>'FY21 Final Initial $$'!M11/'FY21 FTE'!M$120</f>
        <v>1</v>
      </c>
      <c r="N11" s="28">
        <f>'FY21 Final Initial $$'!N11/'FY21 FTE'!N$120</f>
        <v>1</v>
      </c>
      <c r="O11" s="28">
        <f>'FY21 Final Initial $$'!O11/'FY21 FTE'!O$120</f>
        <v>1.4</v>
      </c>
      <c r="P11" s="28">
        <f>'FY21 Final Initial $$'!P11/'FY21 FTE'!P$120</f>
        <v>1</v>
      </c>
      <c r="Q11" s="28">
        <f>'FY21 Final Initial $$'!Q11/'FY21 FTE'!Q$120</f>
        <v>1.0000004487061702</v>
      </c>
      <c r="R11" s="28">
        <f>'FY21 Final Initial $$'!R11/'FY21 FTE'!R$120</f>
        <v>0</v>
      </c>
      <c r="S11" s="28">
        <f>'FY21 Final Initial $$'!S11/'FY21 FTE'!S$120</f>
        <v>1</v>
      </c>
      <c r="T11" s="28">
        <f>'FY21 Final Initial $$'!T11/'FY21 FTE'!T$120</f>
        <v>1</v>
      </c>
      <c r="U11" s="28">
        <f>'FY21 Final Initial $$'!U11/'FY21 FTE'!U$120</f>
        <v>5</v>
      </c>
      <c r="V11" s="28">
        <f>'FY21 Final Initial $$'!V11/'FY21 FTE'!V$120</f>
        <v>1</v>
      </c>
      <c r="W11" s="28">
        <f>'FY21 Final Initial $$'!W11/'FY21 FTE'!W$120</f>
        <v>0</v>
      </c>
      <c r="X11" s="28">
        <f>'FY21 Final Initial $$'!X11/'FY21 FTE'!X$120</f>
        <v>0</v>
      </c>
      <c r="Y11" s="28">
        <f>'FY21 Final Initial $$'!Y11/'FY21 FTE'!Y$120</f>
        <v>0</v>
      </c>
      <c r="Z11" s="28">
        <f>'FY21 Final Initial $$'!Z11/'FY21 FTE'!Z$120</f>
        <v>0</v>
      </c>
      <c r="AA11" s="28">
        <f>'FY21 Final Initial $$'!AA11/'FY21 FTE'!AA$120</f>
        <v>0</v>
      </c>
      <c r="AB11" s="28">
        <f>'FY21 Final Initial $$'!AB11/'FY21 FTE'!AB$120</f>
        <v>0</v>
      </c>
      <c r="AC11" s="28">
        <f>'FY21 Final Initial $$'!AC11/'FY21 FTE'!AC$120</f>
        <v>0</v>
      </c>
      <c r="AD11" s="28">
        <f>'FY21 Final Initial $$'!AD11/'FY21 FTE'!AD$120</f>
        <v>0</v>
      </c>
      <c r="AE11" s="28">
        <f>'FY21 Final Initial $$'!AE11/'FY21 FTE'!AE$120</f>
        <v>0</v>
      </c>
      <c r="AF11" s="28">
        <f>'FY21 Final Initial $$'!AF11/'FY21 FTE'!AF$120</f>
        <v>0</v>
      </c>
      <c r="AG11" s="28">
        <f>'FY21 Final Initial $$'!AG11/'FY21 FTE'!AG$120</f>
        <v>0</v>
      </c>
      <c r="AH11" s="28">
        <f>'FY21 Final Initial $$'!AH11/'FY21 FTE'!AH$120</f>
        <v>0</v>
      </c>
      <c r="AI11" s="28">
        <f>'FY21 Final Initial $$'!AI11/'FY21 FTE'!AI$120</f>
        <v>0</v>
      </c>
      <c r="AJ11" s="28">
        <f>'FY21 Final Initial $$'!AJ11/'FY21 FTE'!AJ$120</f>
        <v>0</v>
      </c>
      <c r="AK11" s="28">
        <f>'FY21 Final Initial $$'!AK11/'FY21 FTE'!AK$120</f>
        <v>0</v>
      </c>
      <c r="AL11" s="28">
        <f>'FY21 Final Initial $$'!AL11/'FY21 FTE'!AL$120</f>
        <v>0</v>
      </c>
      <c r="AM11" s="28">
        <f>'FY21 Final Initial $$'!AM11/'FY21 FTE'!AM$120</f>
        <v>0</v>
      </c>
      <c r="AN11" s="28">
        <f>'FY21 Final Initial $$'!AN11/'FY21 FTE'!AN$120</f>
        <v>0</v>
      </c>
      <c r="AO11" s="28">
        <f>'FY21 Final Initial $$'!AO11/'FY21 FTE'!AO$120</f>
        <v>0</v>
      </c>
      <c r="AP11" s="28">
        <f>'FY21 Final Initial $$'!AP11/'FY21 FTE'!AP$120</f>
        <v>0</v>
      </c>
      <c r="AQ11" s="28">
        <f>'FY21 Final Initial $$'!AQ11/'FY21 FTE'!AQ$120</f>
        <v>0</v>
      </c>
      <c r="AR11" s="28">
        <f>'FY21 Final Initial $$'!AR11/'FY21 FTE'!AR$120</f>
        <v>7.1</v>
      </c>
      <c r="AS11" s="28">
        <f>'FY21 Final Initial $$'!AS11/'FY21 FTE'!AS$120</f>
        <v>6.8</v>
      </c>
      <c r="AT11" s="28">
        <f>'FY21 Final Initial $$'!AT11/'FY21 FTE'!AT$120</f>
        <v>5.4</v>
      </c>
      <c r="AU11" s="28">
        <f>'FY21 Final Initial $$'!AU11/'FY21 FTE'!AU$120</f>
        <v>4.8</v>
      </c>
      <c r="AV11" s="28">
        <f>'FY21 Final Initial $$'!AV11/'FY21 FTE'!AV$120</f>
        <v>0</v>
      </c>
      <c r="AW11" s="28">
        <f>'FY21 Final Initial $$'!AW11/'FY21 FTE'!AW$120</f>
        <v>0</v>
      </c>
      <c r="AX11" s="28">
        <f>'FY21 Final Initial $$'!AX11/'FY21 FTE'!AX$120</f>
        <v>0</v>
      </c>
      <c r="AY11" s="28">
        <f>'FY21 Final Initial $$'!AY11/'FY21 FTE'!AY$120</f>
        <v>0.5</v>
      </c>
      <c r="AZ11" s="28">
        <f>'FY21 Final Initial $$'!AZ11/'FY21 FTE'!AZ$120</f>
        <v>0.5</v>
      </c>
      <c r="BA11" s="28">
        <f>'FY21 Final Initial $$'!BA11/'FY21 FTE'!BA$120</f>
        <v>1</v>
      </c>
      <c r="BB11" s="28">
        <f>'FY21 Final Initial $$'!BB11/'FY21 FTE'!BB$120</f>
        <v>0</v>
      </c>
      <c r="BC11" s="28">
        <f>'FY21 Final Initial $$'!BC11/'FY21 FTE'!BC$120</f>
        <v>0</v>
      </c>
      <c r="BD11" s="28">
        <f>'FY21 Final Initial $$'!BD11/'FY21 FTE'!BD$120</f>
        <v>0</v>
      </c>
      <c r="BE11" s="28">
        <f>'FY21 Final Initial $$'!BE11/'FY21 FTE'!BE$120</f>
        <v>0.22727272727272727</v>
      </c>
      <c r="BF11" s="28">
        <f>'FY21 Final Initial $$'!BF11/'FY21 FTE'!BF$120</f>
        <v>0</v>
      </c>
      <c r="BG11" s="28">
        <f>'FY21 Final Initial $$'!BG11/'FY21 FTE'!BG$120</f>
        <v>0</v>
      </c>
      <c r="BH11" s="28">
        <f>'FY21 Final Initial $$'!BH11/'FY21 FTE'!BH$120</f>
        <v>0</v>
      </c>
      <c r="BI11" s="28">
        <f>'FY21 Final Initial $$'!BI11/'FY21 FTE'!BI$120</f>
        <v>0</v>
      </c>
      <c r="BJ11" s="28">
        <f>'FY21 Final Initial $$'!BJ11/'FY21 FTE'!BJ$120</f>
        <v>0</v>
      </c>
      <c r="BK11" s="20">
        <v>0</v>
      </c>
      <c r="BL11" s="20"/>
      <c r="BM11" s="20"/>
      <c r="BN11" s="20">
        <v>110690.76</v>
      </c>
      <c r="BO11" s="20">
        <v>1715.58</v>
      </c>
      <c r="BP11" s="20">
        <v>0</v>
      </c>
      <c r="BQ11" s="28">
        <f>'FY21 Final Initial $$'!BQ11/'FY21 FTE'!BQ$120</f>
        <v>1</v>
      </c>
      <c r="BR11" s="28">
        <f>'FY21 Final Initial $$'!BR11/'FY21 FTE'!BR$120</f>
        <v>0</v>
      </c>
      <c r="BS11" s="28">
        <f>'FY21 Final Initial $$'!BS11/'FY21 FTE'!BS$120</f>
        <v>0</v>
      </c>
      <c r="BT11" s="28">
        <f>'FY21 Final Initial $$'!BT11/'FY21 FTE'!BT$120</f>
        <v>0</v>
      </c>
      <c r="BU11" s="28">
        <f>'FY21 Final Initial $$'!BU11/'FY21 FTE'!BU$120</f>
        <v>0</v>
      </c>
      <c r="BV11" s="28">
        <f>'FY21 Final Initial $$'!BV11/'FY21 FTE'!BV$120</f>
        <v>0</v>
      </c>
      <c r="BW11" s="28">
        <f>'FY21 Final Initial $$'!BW11/'FY21 FTE'!BW$120</f>
        <v>0</v>
      </c>
      <c r="BX11" s="20">
        <v>0</v>
      </c>
      <c r="BY11" s="20">
        <v>0</v>
      </c>
      <c r="BZ11" s="20">
        <v>0</v>
      </c>
      <c r="CA11" s="20">
        <v>0</v>
      </c>
      <c r="CB11" s="28">
        <f>'FY21 Final Initial $$'!CB11/'FY21 FTE'!CB$120</f>
        <v>0</v>
      </c>
      <c r="CC11" s="28">
        <f>'FY21 Final Initial $$'!CC11/'FY21 FTE'!CC$120</f>
        <v>0</v>
      </c>
      <c r="CD11" s="20">
        <v>0</v>
      </c>
      <c r="CE11" s="28">
        <f>'FY21 Final Initial $$'!CE11/'FY21 FTE'!CE$120</f>
        <v>0</v>
      </c>
      <c r="CF11" s="28">
        <f>'FY21 Final Initial $$'!CF11/'FY21 FTE'!CF$120</f>
        <v>0</v>
      </c>
      <c r="CG11" s="28">
        <f>'FY21 Final Initial $$'!CG11/'FY21 FTE'!CG$120</f>
        <v>0</v>
      </c>
      <c r="CH11" s="28">
        <f>'FY21 Final Initial $$'!CH11/'FY21 FTE'!CH$120</f>
        <v>0</v>
      </c>
      <c r="CI11" s="28">
        <f>'FY21 Final Initial $$'!CI11/'FY21 FTE'!CI$120</f>
        <v>0</v>
      </c>
      <c r="CJ11" s="28">
        <f>'FY21 Final Initial $$'!CJ11/'FY21 FTE'!CJ$120</f>
        <v>0</v>
      </c>
      <c r="CK11" s="28">
        <f>'FY21 Final Initial $$'!CK11/'FY21 FTE'!CK$120</f>
        <v>0</v>
      </c>
      <c r="CL11" s="28">
        <f>'FY21 Final Initial $$'!CL11/'FY21 FTE'!CL$120</f>
        <v>0</v>
      </c>
      <c r="CM11" s="20">
        <v>0</v>
      </c>
      <c r="CN11" s="20">
        <v>0</v>
      </c>
      <c r="CO11" s="20">
        <v>167765.28</v>
      </c>
      <c r="CP11" s="20">
        <v>0</v>
      </c>
      <c r="CQ11" s="28">
        <f>'FY21 Final Initial $$'!CQ11/'FY21 FTE'!CQ$120</f>
        <v>1</v>
      </c>
      <c r="CR11" s="20">
        <v>0</v>
      </c>
      <c r="CS11" s="20">
        <v>0</v>
      </c>
      <c r="CT11" s="20">
        <v>0</v>
      </c>
      <c r="CU11" s="20">
        <v>77286.291850152906</v>
      </c>
      <c r="CV11" s="28">
        <f>'FY21 Final Initial $$'!CV11/'FY21 FTE'!CV$120</f>
        <v>0</v>
      </c>
      <c r="CW11" s="28">
        <f>'FY21 Final Initial $$'!CW11/'FY21 FTE'!CW$120</f>
        <v>0</v>
      </c>
      <c r="CX11" s="20">
        <v>0</v>
      </c>
      <c r="CY11" s="28">
        <f>'FY21 Final Initial $$'!CY11/'FY21 FTE'!CY$120</f>
        <v>0</v>
      </c>
      <c r="CZ11" s="20">
        <v>0</v>
      </c>
      <c r="DA11" s="20">
        <v>0</v>
      </c>
      <c r="DB11" s="20">
        <v>57700</v>
      </c>
      <c r="DC11" s="20">
        <v>78590.227940449477</v>
      </c>
      <c r="DD11" s="20">
        <v>14517.582790175453</v>
      </c>
      <c r="DE11" s="20">
        <v>690480</v>
      </c>
      <c r="DF11" s="20">
        <v>0</v>
      </c>
      <c r="DG11" s="20">
        <v>33080</v>
      </c>
      <c r="DH11" s="28">
        <f>'FY21 Final Initial $$'!DH11/'FY21 FTE'!DH$120</f>
        <v>0</v>
      </c>
      <c r="DI11" s="20"/>
      <c r="DJ11" s="20">
        <v>174.99999022111297</v>
      </c>
      <c r="DK11" s="22">
        <v>0</v>
      </c>
      <c r="DL11" s="20">
        <v>0</v>
      </c>
      <c r="DM11" s="20">
        <v>0</v>
      </c>
      <c r="DN11" s="20">
        <v>6113381.339990221</v>
      </c>
      <c r="DO11" s="29">
        <f t="shared" si="1"/>
        <v>0</v>
      </c>
      <c r="DP11" s="29">
        <f t="shared" si="1"/>
        <v>0</v>
      </c>
      <c r="DQ11" s="29">
        <f t="shared" si="2"/>
        <v>24.099999999999998</v>
      </c>
      <c r="DR11" s="29">
        <f t="shared" si="3"/>
        <v>2.2272727272727271</v>
      </c>
      <c r="DS11" s="29">
        <f t="shared" si="4"/>
        <v>0</v>
      </c>
    </row>
    <row r="12" spans="1:123" x14ac:dyDescent="0.25">
      <c r="A12" s="18">
        <v>212</v>
      </c>
      <c r="B12" t="s">
        <v>148</v>
      </c>
      <c r="C12" t="s">
        <v>135</v>
      </c>
      <c r="D12">
        <v>6</v>
      </c>
      <c r="E12">
        <v>452</v>
      </c>
      <c r="F12" s="19">
        <f t="shared" si="0"/>
        <v>5.7522123893805309E-2</v>
      </c>
      <c r="G12">
        <v>26</v>
      </c>
      <c r="H12" s="28">
        <f>'FY21 Final Initial $$'!H12/'FY21 FTE'!H$120</f>
        <v>1</v>
      </c>
      <c r="I12" s="28">
        <f>'FY21 Final Initial $$'!I12/'FY21 FTE'!I$120</f>
        <v>1</v>
      </c>
      <c r="J12" s="28">
        <f>'FY21 Final Initial $$'!J12/'FY21 FTE'!J$120</f>
        <v>1.1000000000000001</v>
      </c>
      <c r="K12" s="28">
        <f>'FY21 Final Initial $$'!K12/'FY21 FTE'!K$120</f>
        <v>0</v>
      </c>
      <c r="L12" s="28">
        <f>'FY21 Final Initial $$'!L12/'FY21 FTE'!L$120</f>
        <v>0</v>
      </c>
      <c r="M12" s="28">
        <f>'FY21 Final Initial $$'!M12/'FY21 FTE'!M$120</f>
        <v>1</v>
      </c>
      <c r="N12" s="28">
        <f>'FY21 Final Initial $$'!N12/'FY21 FTE'!N$120</f>
        <v>1</v>
      </c>
      <c r="O12" s="28">
        <f>'FY21 Final Initial $$'!O12/'FY21 FTE'!O$120</f>
        <v>1.1000000000000001</v>
      </c>
      <c r="P12" s="28">
        <f>'FY21 Final Initial $$'!P12/'FY21 FTE'!P$120</f>
        <v>0</v>
      </c>
      <c r="Q12" s="28">
        <f>'FY21 Final Initial $$'!Q12/'FY21 FTE'!Q$120</f>
        <v>0</v>
      </c>
      <c r="R12" s="28">
        <f>'FY21 Final Initial $$'!R12/'FY21 FTE'!R$120</f>
        <v>0</v>
      </c>
      <c r="S12" s="28">
        <f>'FY21 Final Initial $$'!S12/'FY21 FTE'!S$120</f>
        <v>1</v>
      </c>
      <c r="T12" s="28">
        <f>'FY21 Final Initial $$'!T12/'FY21 FTE'!T$120</f>
        <v>1</v>
      </c>
      <c r="U12" s="28">
        <f>'FY21 Final Initial $$'!U12/'FY21 FTE'!U$120</f>
        <v>2</v>
      </c>
      <c r="V12" s="28">
        <f>'FY21 Final Initial $$'!V12/'FY21 FTE'!V$120</f>
        <v>1</v>
      </c>
      <c r="W12" s="28">
        <f>'FY21 Final Initial $$'!W12/'FY21 FTE'!W$120</f>
        <v>1</v>
      </c>
      <c r="X12" s="28">
        <f>'FY21 Final Initial $$'!X12/'FY21 FTE'!X$120</f>
        <v>1</v>
      </c>
      <c r="Y12" s="28">
        <f>'FY21 Final Initial $$'!Y12/'FY21 FTE'!Y$120</f>
        <v>1</v>
      </c>
      <c r="Z12" s="28">
        <f>'FY21 Final Initial $$'!Z12/'FY21 FTE'!Z$120</f>
        <v>1.5</v>
      </c>
      <c r="AA12" s="28">
        <f>'FY21 Final Initial $$'!AA12/'FY21 FTE'!AA$120</f>
        <v>0</v>
      </c>
      <c r="AB12" s="28">
        <f>'FY21 Final Initial $$'!AB12/'FY21 FTE'!AB$120</f>
        <v>0</v>
      </c>
      <c r="AC12" s="28">
        <f>'FY21 Final Initial $$'!AC12/'FY21 FTE'!AC$120</f>
        <v>0</v>
      </c>
      <c r="AD12" s="28">
        <f>'FY21 Final Initial $$'!AD12/'FY21 FTE'!AD$120</f>
        <v>4</v>
      </c>
      <c r="AE12" s="28">
        <f>'FY21 Final Initial $$'!AE12/'FY21 FTE'!AE$120</f>
        <v>4</v>
      </c>
      <c r="AF12" s="28">
        <f>'FY21 Final Initial $$'!AF12/'FY21 FTE'!AF$120</f>
        <v>0</v>
      </c>
      <c r="AG12" s="28">
        <f>'FY21 Final Initial $$'!AG12/'FY21 FTE'!AG$120</f>
        <v>0</v>
      </c>
      <c r="AH12" s="28">
        <f>'FY21 Final Initial $$'!AH12/'FY21 FTE'!AH$120</f>
        <v>3</v>
      </c>
      <c r="AI12" s="28">
        <f>'FY21 Final Initial $$'!AI12/'FY21 FTE'!AI$120</f>
        <v>3</v>
      </c>
      <c r="AJ12" s="28">
        <f>'FY21 Final Initial $$'!AJ12/'FY21 FTE'!AJ$120</f>
        <v>3</v>
      </c>
      <c r="AK12" s="28">
        <f>'FY21 Final Initial $$'!AK12/'FY21 FTE'!AK$120</f>
        <v>3</v>
      </c>
      <c r="AL12" s="28">
        <f>'FY21 Final Initial $$'!AL12/'FY21 FTE'!AL$120</f>
        <v>4</v>
      </c>
      <c r="AM12" s="28">
        <f>'FY21 Final Initial $$'!AM12/'FY21 FTE'!AM$120</f>
        <v>3</v>
      </c>
      <c r="AN12" s="28">
        <f>'FY21 Final Initial $$'!AN12/'FY21 FTE'!AN$120</f>
        <v>2.0000000000000027</v>
      </c>
      <c r="AO12" s="28">
        <f>'FY21 Final Initial $$'!AO12/'FY21 FTE'!AO$120</f>
        <v>0</v>
      </c>
      <c r="AP12" s="28">
        <f>'FY21 Final Initial $$'!AP12/'FY21 FTE'!AP$120</f>
        <v>0</v>
      </c>
      <c r="AQ12" s="28">
        <f>'FY21 Final Initial $$'!AQ12/'FY21 FTE'!AQ$120</f>
        <v>0</v>
      </c>
      <c r="AR12" s="28">
        <f>'FY21 Final Initial $$'!AR12/'FY21 FTE'!AR$120</f>
        <v>0</v>
      </c>
      <c r="AS12" s="28">
        <f>'FY21 Final Initial $$'!AS12/'FY21 FTE'!AS$120</f>
        <v>0</v>
      </c>
      <c r="AT12" s="28">
        <f>'FY21 Final Initial $$'!AT12/'FY21 FTE'!AT$120</f>
        <v>0</v>
      </c>
      <c r="AU12" s="28">
        <f>'FY21 Final Initial $$'!AU12/'FY21 FTE'!AU$120</f>
        <v>0</v>
      </c>
      <c r="AV12" s="28">
        <f>'FY21 Final Initial $$'!AV12/'FY21 FTE'!AV$120</f>
        <v>0</v>
      </c>
      <c r="AW12" s="28">
        <f>'FY21 Final Initial $$'!AW12/'FY21 FTE'!AW$120</f>
        <v>0</v>
      </c>
      <c r="AX12" s="28">
        <f>'FY21 Final Initial $$'!AX12/'FY21 FTE'!AX$120</f>
        <v>0</v>
      </c>
      <c r="AY12" s="28">
        <f>'FY21 Final Initial $$'!AY12/'FY21 FTE'!AY$120</f>
        <v>0.5</v>
      </c>
      <c r="AZ12" s="28">
        <f>'FY21 Final Initial $$'!AZ12/'FY21 FTE'!AZ$120</f>
        <v>1</v>
      </c>
      <c r="BA12" s="28">
        <f>'FY21 Final Initial $$'!BA12/'FY21 FTE'!BA$120</f>
        <v>4</v>
      </c>
      <c r="BB12" s="28">
        <f>'FY21 Final Initial $$'!BB12/'FY21 FTE'!BB$120</f>
        <v>0</v>
      </c>
      <c r="BC12" s="28">
        <f>'FY21 Final Initial $$'!BC12/'FY21 FTE'!BC$120</f>
        <v>0</v>
      </c>
      <c r="BD12" s="28">
        <f>'FY21 Final Initial $$'!BD12/'FY21 FTE'!BD$120</f>
        <v>0</v>
      </c>
      <c r="BE12" s="28">
        <f>'FY21 Final Initial $$'!BE12/'FY21 FTE'!BE$120</f>
        <v>1</v>
      </c>
      <c r="BF12" s="28">
        <f>'FY21 Final Initial $$'!BF12/'FY21 FTE'!BF$120</f>
        <v>0</v>
      </c>
      <c r="BG12" s="28">
        <f>'FY21 Final Initial $$'!BG12/'FY21 FTE'!BG$120</f>
        <v>0</v>
      </c>
      <c r="BH12" s="28">
        <f>'FY21 Final Initial $$'!BH12/'FY21 FTE'!BH$120</f>
        <v>0</v>
      </c>
      <c r="BI12" s="28">
        <f>'FY21 Final Initial $$'!BI12/'FY21 FTE'!BI$120</f>
        <v>0</v>
      </c>
      <c r="BJ12" s="28">
        <f>'FY21 Final Initial $$'!BJ12/'FY21 FTE'!BJ$120</f>
        <v>0</v>
      </c>
      <c r="BK12" s="20">
        <v>0</v>
      </c>
      <c r="BL12" s="20"/>
      <c r="BM12" s="20"/>
      <c r="BN12" s="20">
        <v>0</v>
      </c>
      <c r="BO12" s="20">
        <v>0</v>
      </c>
      <c r="BP12" s="20">
        <v>10925</v>
      </c>
      <c r="BQ12" s="28">
        <f>'FY21 Final Initial $$'!BQ12/'FY21 FTE'!BQ$120</f>
        <v>0</v>
      </c>
      <c r="BR12" s="28">
        <f>'FY21 Final Initial $$'!BR12/'FY21 FTE'!BR$120</f>
        <v>0</v>
      </c>
      <c r="BS12" s="28">
        <f>'FY21 Final Initial $$'!BS12/'FY21 FTE'!BS$120</f>
        <v>0</v>
      </c>
      <c r="BT12" s="28">
        <f>'FY21 Final Initial $$'!BT12/'FY21 FTE'!BT$120</f>
        <v>0</v>
      </c>
      <c r="BU12" s="28">
        <f>'FY21 Final Initial $$'!BU12/'FY21 FTE'!BU$120</f>
        <v>0</v>
      </c>
      <c r="BV12" s="28">
        <f>'FY21 Final Initial $$'!BV12/'FY21 FTE'!BV$120</f>
        <v>0</v>
      </c>
      <c r="BW12" s="28">
        <f>'FY21 Final Initial $$'!BW12/'FY21 FTE'!BW$120</f>
        <v>0</v>
      </c>
      <c r="BX12" s="20">
        <v>0</v>
      </c>
      <c r="BY12" s="20">
        <v>0</v>
      </c>
      <c r="BZ12" s="20">
        <v>0</v>
      </c>
      <c r="CA12" s="20">
        <v>0</v>
      </c>
      <c r="CB12" s="28">
        <f>'FY21 Final Initial $$'!CB12/'FY21 FTE'!CB$120</f>
        <v>0</v>
      </c>
      <c r="CC12" s="28">
        <f>'FY21 Final Initial $$'!CC12/'FY21 FTE'!CC$120</f>
        <v>0</v>
      </c>
      <c r="CD12" s="20">
        <v>0</v>
      </c>
      <c r="CE12" s="28">
        <f>'FY21 Final Initial $$'!CE12/'FY21 FTE'!CE$120</f>
        <v>0</v>
      </c>
      <c r="CF12" s="28">
        <f>'FY21 Final Initial $$'!CF12/'FY21 FTE'!CF$120</f>
        <v>0</v>
      </c>
      <c r="CG12" s="28">
        <f>'FY21 Final Initial $$'!CG12/'FY21 FTE'!CG$120</f>
        <v>0</v>
      </c>
      <c r="CH12" s="28">
        <f>'FY21 Final Initial $$'!CH12/'FY21 FTE'!CH$120</f>
        <v>0</v>
      </c>
      <c r="CI12" s="28">
        <f>'FY21 Final Initial $$'!CI12/'FY21 FTE'!CI$120</f>
        <v>0</v>
      </c>
      <c r="CJ12" s="28">
        <f>'FY21 Final Initial $$'!CJ12/'FY21 FTE'!CJ$120</f>
        <v>0</v>
      </c>
      <c r="CK12" s="28">
        <f>'FY21 Final Initial $$'!CK12/'FY21 FTE'!CK$120</f>
        <v>0</v>
      </c>
      <c r="CL12" s="28">
        <f>'FY21 Final Initial $$'!CL12/'FY21 FTE'!CL$120</f>
        <v>0</v>
      </c>
      <c r="CM12" s="20">
        <v>0</v>
      </c>
      <c r="CN12" s="20">
        <v>0</v>
      </c>
      <c r="CO12" s="20">
        <v>55921.759999999995</v>
      </c>
      <c r="CP12" s="20">
        <v>0</v>
      </c>
      <c r="CQ12" s="28">
        <f>'FY21 Final Initial $$'!CQ12/'FY21 FTE'!CQ$120</f>
        <v>0</v>
      </c>
      <c r="CR12" s="20">
        <v>0</v>
      </c>
      <c r="CS12" s="20">
        <v>0</v>
      </c>
      <c r="CT12" s="20">
        <v>0</v>
      </c>
      <c r="CU12" s="20">
        <v>23963.943627450979</v>
      </c>
      <c r="CV12" s="28">
        <f>'FY21 Final Initial $$'!CV12/'FY21 FTE'!CV$120</f>
        <v>0</v>
      </c>
      <c r="CW12" s="28">
        <f>'FY21 Final Initial $$'!CW12/'FY21 FTE'!CW$120</f>
        <v>0</v>
      </c>
      <c r="CX12" s="20">
        <v>0</v>
      </c>
      <c r="CY12" s="28">
        <f>'FY21 Final Initial $$'!CY12/'FY21 FTE'!CY$120</f>
        <v>0</v>
      </c>
      <c r="CZ12" s="20">
        <v>0</v>
      </c>
      <c r="DA12" s="20">
        <v>0</v>
      </c>
      <c r="DB12" s="20">
        <v>45200</v>
      </c>
      <c r="DC12" s="20">
        <v>79063.080344747825</v>
      </c>
      <c r="DD12" s="20">
        <v>0</v>
      </c>
      <c r="DE12" s="20">
        <v>0</v>
      </c>
      <c r="DF12" s="20">
        <v>0</v>
      </c>
      <c r="DG12" s="20">
        <v>0</v>
      </c>
      <c r="DH12" s="28">
        <f>'FY21 Final Initial $$'!DH12/'FY21 FTE'!DH$120</f>
        <v>0</v>
      </c>
      <c r="DI12" s="20"/>
      <c r="DJ12" s="20">
        <v>2800.0001069158316</v>
      </c>
      <c r="DK12" s="22">
        <v>0</v>
      </c>
      <c r="DL12" s="20">
        <v>0</v>
      </c>
      <c r="DM12" s="20">
        <v>0</v>
      </c>
      <c r="DN12" s="20">
        <v>5128624.1160510294</v>
      </c>
      <c r="DO12" s="29">
        <f t="shared" si="1"/>
        <v>7</v>
      </c>
      <c r="DP12" s="29">
        <f t="shared" si="1"/>
        <v>7</v>
      </c>
      <c r="DQ12" s="29">
        <f t="shared" si="2"/>
        <v>15.000000000000004</v>
      </c>
      <c r="DR12" s="29">
        <f t="shared" si="3"/>
        <v>6.5</v>
      </c>
      <c r="DS12" s="29">
        <f t="shared" si="4"/>
        <v>0</v>
      </c>
    </row>
    <row r="13" spans="1:123" x14ac:dyDescent="0.25">
      <c r="A13" s="18">
        <v>213</v>
      </c>
      <c r="B13" t="s">
        <v>149</v>
      </c>
      <c r="C13" t="s">
        <v>150</v>
      </c>
      <c r="D13">
        <v>4</v>
      </c>
      <c r="E13">
        <v>663</v>
      </c>
      <c r="F13" s="19">
        <f t="shared" si="0"/>
        <v>0.49321266968325794</v>
      </c>
      <c r="G13">
        <v>327</v>
      </c>
      <c r="H13" s="28">
        <f>'FY21 Final Initial $$'!H13/'FY21 FTE'!H$120</f>
        <v>1</v>
      </c>
      <c r="I13" s="28">
        <f>'FY21 Final Initial $$'!I13/'FY21 FTE'!I$120</f>
        <v>1</v>
      </c>
      <c r="J13" s="28">
        <f>'FY21 Final Initial $$'!J13/'FY21 FTE'!J$120</f>
        <v>1.7</v>
      </c>
      <c r="K13" s="28">
        <f>'FY21 Final Initial $$'!K13/'FY21 FTE'!K$120</f>
        <v>1</v>
      </c>
      <c r="L13" s="28">
        <f>'FY21 Final Initial $$'!L13/'FY21 FTE'!L$120</f>
        <v>0</v>
      </c>
      <c r="M13" s="28">
        <f>'FY21 Final Initial $$'!M13/'FY21 FTE'!M$120</f>
        <v>1</v>
      </c>
      <c r="N13" s="28">
        <f>'FY21 Final Initial $$'!N13/'FY21 FTE'!N$120</f>
        <v>1</v>
      </c>
      <c r="O13" s="28">
        <f>'FY21 Final Initial $$'!O13/'FY21 FTE'!O$120</f>
        <v>1.7</v>
      </c>
      <c r="P13" s="28">
        <f>'FY21 Final Initial $$'!P13/'FY21 FTE'!P$120</f>
        <v>0</v>
      </c>
      <c r="Q13" s="28">
        <f>'FY21 Final Initial $$'!Q13/'FY21 FTE'!Q$120</f>
        <v>0</v>
      </c>
      <c r="R13" s="28">
        <f>'FY21 Final Initial $$'!R13/'FY21 FTE'!R$120</f>
        <v>0</v>
      </c>
      <c r="S13" s="28">
        <f>'FY21 Final Initial $$'!S13/'FY21 FTE'!S$120</f>
        <v>1</v>
      </c>
      <c r="T13" s="28">
        <f>'FY21 Final Initial $$'!T13/'FY21 FTE'!T$120</f>
        <v>1</v>
      </c>
      <c r="U13" s="28">
        <f>'FY21 Final Initial $$'!U13/'FY21 FTE'!U$120</f>
        <v>3</v>
      </c>
      <c r="V13" s="28">
        <f>'FY21 Final Initial $$'!V13/'FY21 FTE'!V$120</f>
        <v>1</v>
      </c>
      <c r="W13" s="28">
        <f>'FY21 Final Initial $$'!W13/'FY21 FTE'!W$120</f>
        <v>1</v>
      </c>
      <c r="X13" s="28">
        <f>'FY21 Final Initial $$'!X13/'FY21 FTE'!X$120</f>
        <v>1</v>
      </c>
      <c r="Y13" s="28">
        <f>'FY21 Final Initial $$'!Y13/'FY21 FTE'!Y$120</f>
        <v>1</v>
      </c>
      <c r="Z13" s="28">
        <f>'FY21 Final Initial $$'!Z13/'FY21 FTE'!Z$120</f>
        <v>2.5</v>
      </c>
      <c r="AA13" s="28">
        <f>'FY21 Final Initial $$'!AA13/'FY21 FTE'!AA$120</f>
        <v>0</v>
      </c>
      <c r="AB13" s="28">
        <f>'FY21 Final Initial $$'!AB13/'FY21 FTE'!AB$120</f>
        <v>2</v>
      </c>
      <c r="AC13" s="28">
        <f>'FY21 Final Initial $$'!AC13/'FY21 FTE'!AC$120</f>
        <v>2</v>
      </c>
      <c r="AD13" s="28">
        <f>'FY21 Final Initial $$'!AD13/'FY21 FTE'!AD$120</f>
        <v>1</v>
      </c>
      <c r="AE13" s="28">
        <f>'FY21 Final Initial $$'!AE13/'FY21 FTE'!AE$120</f>
        <v>1</v>
      </c>
      <c r="AF13" s="28">
        <f>'FY21 Final Initial $$'!AF13/'FY21 FTE'!AF$120</f>
        <v>3</v>
      </c>
      <c r="AG13" s="28">
        <f>'FY21 Final Initial $$'!AG13/'FY21 FTE'!AG$120</f>
        <v>3</v>
      </c>
      <c r="AH13" s="28">
        <f>'FY21 Final Initial $$'!AH13/'FY21 FTE'!AH$120</f>
        <v>4</v>
      </c>
      <c r="AI13" s="28">
        <f>'FY21 Final Initial $$'!AI13/'FY21 FTE'!AI$120</f>
        <v>4</v>
      </c>
      <c r="AJ13" s="28">
        <f>'FY21 Final Initial $$'!AJ13/'FY21 FTE'!AJ$120</f>
        <v>4</v>
      </c>
      <c r="AK13" s="28">
        <f>'FY21 Final Initial $$'!AK13/'FY21 FTE'!AK$120</f>
        <v>3</v>
      </c>
      <c r="AL13" s="28">
        <f>'FY21 Final Initial $$'!AL13/'FY21 FTE'!AL$120</f>
        <v>4</v>
      </c>
      <c r="AM13" s="28">
        <f>'FY21 Final Initial $$'!AM13/'FY21 FTE'!AM$120</f>
        <v>4</v>
      </c>
      <c r="AN13" s="28">
        <f>'FY21 Final Initial $$'!AN13/'FY21 FTE'!AN$120</f>
        <v>3.000000000000004</v>
      </c>
      <c r="AO13" s="28">
        <f>'FY21 Final Initial $$'!AO13/'FY21 FTE'!AO$120</f>
        <v>0</v>
      </c>
      <c r="AP13" s="28">
        <f>'FY21 Final Initial $$'!AP13/'FY21 FTE'!AP$120</f>
        <v>0</v>
      </c>
      <c r="AQ13" s="28">
        <f>'FY21 Final Initial $$'!AQ13/'FY21 FTE'!AQ$120</f>
        <v>3.8</v>
      </c>
      <c r="AR13" s="28">
        <f>'FY21 Final Initial $$'!AR13/'FY21 FTE'!AR$120</f>
        <v>0</v>
      </c>
      <c r="AS13" s="28">
        <f>'FY21 Final Initial $$'!AS13/'FY21 FTE'!AS$120</f>
        <v>0</v>
      </c>
      <c r="AT13" s="28">
        <f>'FY21 Final Initial $$'!AT13/'FY21 FTE'!AT$120</f>
        <v>0</v>
      </c>
      <c r="AU13" s="28">
        <f>'FY21 Final Initial $$'!AU13/'FY21 FTE'!AU$120</f>
        <v>0</v>
      </c>
      <c r="AV13" s="28">
        <f>'FY21 Final Initial $$'!AV13/'FY21 FTE'!AV$120</f>
        <v>0</v>
      </c>
      <c r="AW13" s="28">
        <f>'FY21 Final Initial $$'!AW13/'FY21 FTE'!AW$120</f>
        <v>0</v>
      </c>
      <c r="AX13" s="28">
        <f>'FY21 Final Initial $$'!AX13/'FY21 FTE'!AX$120</f>
        <v>0</v>
      </c>
      <c r="AY13" s="28">
        <f>'FY21 Final Initial $$'!AY13/'FY21 FTE'!AY$120</f>
        <v>1</v>
      </c>
      <c r="AZ13" s="28">
        <f>'FY21 Final Initial $$'!AZ13/'FY21 FTE'!AZ$120</f>
        <v>3</v>
      </c>
      <c r="BA13" s="28">
        <f>'FY21 Final Initial $$'!BA13/'FY21 FTE'!BA$120</f>
        <v>11</v>
      </c>
      <c r="BB13" s="28">
        <f>'FY21 Final Initial $$'!BB13/'FY21 FTE'!BB$120</f>
        <v>4</v>
      </c>
      <c r="BC13" s="28">
        <f>'FY21 Final Initial $$'!BC13/'FY21 FTE'!BC$120</f>
        <v>0</v>
      </c>
      <c r="BD13" s="28">
        <f>'FY21 Final Initial $$'!BD13/'FY21 FTE'!BD$120</f>
        <v>0</v>
      </c>
      <c r="BE13" s="28">
        <f>'FY21 Final Initial $$'!BE13/'FY21 FTE'!BE$120</f>
        <v>25</v>
      </c>
      <c r="BF13" s="28">
        <f>'FY21 Final Initial $$'!BF13/'FY21 FTE'!BF$120</f>
        <v>1</v>
      </c>
      <c r="BG13" s="28">
        <f>'FY21 Final Initial $$'!BG13/'FY21 FTE'!BG$120</f>
        <v>5</v>
      </c>
      <c r="BH13" s="28">
        <f>'FY21 Final Initial $$'!BH13/'FY21 FTE'!BH$120</f>
        <v>5</v>
      </c>
      <c r="BI13" s="28">
        <f>'FY21 Final Initial $$'!BI13/'FY21 FTE'!BI$120</f>
        <v>5</v>
      </c>
      <c r="BJ13" s="28">
        <f>'FY21 Final Initial $$'!BJ13/'FY21 FTE'!BJ$120</f>
        <v>1</v>
      </c>
      <c r="BK13" s="20">
        <v>0</v>
      </c>
      <c r="BL13" s="20"/>
      <c r="BM13" s="20"/>
      <c r="BN13" s="20">
        <v>218802.8</v>
      </c>
      <c r="BO13" s="20">
        <v>3532.15</v>
      </c>
      <c r="BP13" s="20">
        <v>0</v>
      </c>
      <c r="BQ13" s="28">
        <f>'FY21 Final Initial $$'!BQ13/'FY21 FTE'!BQ$120</f>
        <v>0</v>
      </c>
      <c r="BR13" s="28">
        <f>'FY21 Final Initial $$'!BR13/'FY21 FTE'!BR$120</f>
        <v>0</v>
      </c>
      <c r="BS13" s="28">
        <f>'FY21 Final Initial $$'!BS13/'FY21 FTE'!BS$120</f>
        <v>0</v>
      </c>
      <c r="BT13" s="28">
        <f>'FY21 Final Initial $$'!BT13/'FY21 FTE'!BT$120</f>
        <v>0</v>
      </c>
      <c r="BU13" s="28">
        <f>'FY21 Final Initial $$'!BU13/'FY21 FTE'!BU$120</f>
        <v>0</v>
      </c>
      <c r="BV13" s="28">
        <f>'FY21 Final Initial $$'!BV13/'FY21 FTE'!BV$120</f>
        <v>0</v>
      </c>
      <c r="BW13" s="28">
        <f>'FY21 Final Initial $$'!BW13/'FY21 FTE'!BW$120</f>
        <v>0</v>
      </c>
      <c r="BX13" s="20">
        <v>0</v>
      </c>
      <c r="BY13" s="20">
        <v>0</v>
      </c>
      <c r="BZ13" s="20">
        <v>0</v>
      </c>
      <c r="CA13" s="20">
        <v>0</v>
      </c>
      <c r="CB13" s="28">
        <f>'FY21 Final Initial $$'!CB13/'FY21 FTE'!CB$120</f>
        <v>0</v>
      </c>
      <c r="CC13" s="28">
        <f>'FY21 Final Initial $$'!CC13/'FY21 FTE'!CC$120</f>
        <v>0</v>
      </c>
      <c r="CD13" s="20">
        <v>0</v>
      </c>
      <c r="CE13" s="28">
        <f>'FY21 Final Initial $$'!CE13/'FY21 FTE'!CE$120</f>
        <v>0</v>
      </c>
      <c r="CF13" s="28">
        <f>'FY21 Final Initial $$'!CF13/'FY21 FTE'!CF$120</f>
        <v>0</v>
      </c>
      <c r="CG13" s="28">
        <f>'FY21 Final Initial $$'!CG13/'FY21 FTE'!CG$120</f>
        <v>0</v>
      </c>
      <c r="CH13" s="28">
        <f>'FY21 Final Initial $$'!CH13/'FY21 FTE'!CH$120</f>
        <v>0</v>
      </c>
      <c r="CI13" s="28">
        <f>'FY21 Final Initial $$'!CI13/'FY21 FTE'!CI$120</f>
        <v>0</v>
      </c>
      <c r="CJ13" s="28">
        <f>'FY21 Final Initial $$'!CJ13/'FY21 FTE'!CJ$120</f>
        <v>0</v>
      </c>
      <c r="CK13" s="28">
        <f>'FY21 Final Initial $$'!CK13/'FY21 FTE'!CK$120</f>
        <v>2</v>
      </c>
      <c r="CL13" s="28">
        <f>'FY21 Final Initial $$'!CL13/'FY21 FTE'!CL$120</f>
        <v>0</v>
      </c>
      <c r="CM13" s="20">
        <v>23000</v>
      </c>
      <c r="CN13" s="20">
        <v>5000</v>
      </c>
      <c r="CO13" s="20">
        <v>167765.28</v>
      </c>
      <c r="CP13" s="20">
        <v>100000</v>
      </c>
      <c r="CQ13" s="28">
        <f>'FY21 Final Initial $$'!CQ13/'FY21 FTE'!CQ$120</f>
        <v>0</v>
      </c>
      <c r="CR13" s="20">
        <v>0</v>
      </c>
      <c r="CS13" s="20">
        <v>6540</v>
      </c>
      <c r="CT13" s="20">
        <v>0</v>
      </c>
      <c r="CU13" s="20">
        <v>34314.686342376051</v>
      </c>
      <c r="CV13" s="28">
        <f>'FY21 Final Initial $$'!CV13/'FY21 FTE'!CV$120</f>
        <v>0</v>
      </c>
      <c r="CW13" s="28">
        <f>'FY21 Final Initial $$'!CW13/'FY21 FTE'!CW$120</f>
        <v>0</v>
      </c>
      <c r="CX13" s="20">
        <v>0</v>
      </c>
      <c r="CY13" s="28">
        <f>'FY21 Final Initial $$'!CY13/'FY21 FTE'!CY$120</f>
        <v>0</v>
      </c>
      <c r="CZ13" s="20">
        <v>0</v>
      </c>
      <c r="DA13" s="20">
        <v>0</v>
      </c>
      <c r="DB13" s="20">
        <v>66300</v>
      </c>
      <c r="DC13" s="20">
        <v>181060.87263394016</v>
      </c>
      <c r="DD13" s="20">
        <v>0</v>
      </c>
      <c r="DE13" s="20">
        <v>0</v>
      </c>
      <c r="DF13" s="20">
        <v>0</v>
      </c>
      <c r="DG13" s="20">
        <v>0</v>
      </c>
      <c r="DH13" s="28">
        <f>'FY21 Final Initial $$'!DH13/'FY21 FTE'!DH$120</f>
        <v>0</v>
      </c>
      <c r="DI13" s="20"/>
      <c r="DJ13" s="20">
        <v>49399.999360740185</v>
      </c>
      <c r="DK13" s="22">
        <v>0</v>
      </c>
      <c r="DL13" s="20">
        <v>0</v>
      </c>
      <c r="DM13" s="20">
        <v>0</v>
      </c>
      <c r="DN13" s="20">
        <v>12127032.722122157</v>
      </c>
      <c r="DO13" s="29">
        <f t="shared" si="1"/>
        <v>10</v>
      </c>
      <c r="DP13" s="29">
        <f t="shared" si="1"/>
        <v>10</v>
      </c>
      <c r="DQ13" s="29">
        <f t="shared" si="2"/>
        <v>21.800000000000004</v>
      </c>
      <c r="DR13" s="29">
        <f t="shared" si="3"/>
        <v>45</v>
      </c>
      <c r="DS13" s="29">
        <f t="shared" si="4"/>
        <v>5</v>
      </c>
    </row>
    <row r="14" spans="1:123" x14ac:dyDescent="0.25">
      <c r="A14" s="18">
        <v>347</v>
      </c>
      <c r="B14" t="s">
        <v>151</v>
      </c>
      <c r="C14" t="s">
        <v>152</v>
      </c>
      <c r="D14">
        <v>5</v>
      </c>
      <c r="E14">
        <v>401</v>
      </c>
      <c r="F14" s="19">
        <f t="shared" si="0"/>
        <v>0.42892768079800497</v>
      </c>
      <c r="G14">
        <v>172</v>
      </c>
      <c r="H14" s="28">
        <f>'FY21 Final Initial $$'!H14/'FY21 FTE'!H$120</f>
        <v>1</v>
      </c>
      <c r="I14" s="28">
        <f>'FY21 Final Initial $$'!I14/'FY21 FTE'!I$120</f>
        <v>1</v>
      </c>
      <c r="J14" s="28">
        <f>'FY21 Final Initial $$'!J14/'FY21 FTE'!J$120</f>
        <v>1.3</v>
      </c>
      <c r="K14" s="28">
        <f>'FY21 Final Initial $$'!K14/'FY21 FTE'!K$120</f>
        <v>1</v>
      </c>
      <c r="L14" s="28">
        <f>'FY21 Final Initial $$'!L14/'FY21 FTE'!L$120</f>
        <v>0</v>
      </c>
      <c r="M14" s="28">
        <f>'FY21 Final Initial $$'!M14/'FY21 FTE'!M$120</f>
        <v>1</v>
      </c>
      <c r="N14" s="28">
        <f>'FY21 Final Initial $$'!N14/'FY21 FTE'!N$120</f>
        <v>1</v>
      </c>
      <c r="O14" s="28">
        <f>'FY21 Final Initial $$'!O14/'FY21 FTE'!O$120</f>
        <v>1</v>
      </c>
      <c r="P14" s="28">
        <f>'FY21 Final Initial $$'!P14/'FY21 FTE'!P$120</f>
        <v>0</v>
      </c>
      <c r="Q14" s="28">
        <f>'FY21 Final Initial $$'!Q14/'FY21 FTE'!Q$120</f>
        <v>0</v>
      </c>
      <c r="R14" s="28">
        <f>'FY21 Final Initial $$'!R14/'FY21 FTE'!R$120</f>
        <v>0</v>
      </c>
      <c r="S14" s="28">
        <f>'FY21 Final Initial $$'!S14/'FY21 FTE'!S$120</f>
        <v>1</v>
      </c>
      <c r="T14" s="28">
        <f>'FY21 Final Initial $$'!T14/'FY21 FTE'!T$120</f>
        <v>1</v>
      </c>
      <c r="U14" s="28">
        <f>'FY21 Final Initial $$'!U14/'FY21 FTE'!U$120</f>
        <v>3</v>
      </c>
      <c r="V14" s="28">
        <f>'FY21 Final Initial $$'!V14/'FY21 FTE'!V$120</f>
        <v>1</v>
      </c>
      <c r="W14" s="28">
        <f>'FY21 Final Initial $$'!W14/'FY21 FTE'!W$120</f>
        <v>0</v>
      </c>
      <c r="X14" s="28">
        <f>'FY21 Final Initial $$'!X14/'FY21 FTE'!X$120</f>
        <v>0</v>
      </c>
      <c r="Y14" s="28">
        <f>'FY21 Final Initial $$'!Y14/'FY21 FTE'!Y$120</f>
        <v>0</v>
      </c>
      <c r="Z14" s="28">
        <f>'FY21 Final Initial $$'!Z14/'FY21 FTE'!Z$120</f>
        <v>0</v>
      </c>
      <c r="AA14" s="28">
        <f>'FY21 Final Initial $$'!AA14/'FY21 FTE'!AA$120</f>
        <v>0</v>
      </c>
      <c r="AB14" s="28">
        <f>'FY21 Final Initial $$'!AB14/'FY21 FTE'!AB$120</f>
        <v>0</v>
      </c>
      <c r="AC14" s="28">
        <f>'FY21 Final Initial $$'!AC14/'FY21 FTE'!AC$120</f>
        <v>0</v>
      </c>
      <c r="AD14" s="28">
        <f>'FY21 Final Initial $$'!AD14/'FY21 FTE'!AD$120</f>
        <v>0</v>
      </c>
      <c r="AE14" s="28">
        <f>'FY21 Final Initial $$'!AE14/'FY21 FTE'!AE$120</f>
        <v>0</v>
      </c>
      <c r="AF14" s="28">
        <f>'FY21 Final Initial $$'!AF14/'FY21 FTE'!AF$120</f>
        <v>0</v>
      </c>
      <c r="AG14" s="28">
        <f>'FY21 Final Initial $$'!AG14/'FY21 FTE'!AG$120</f>
        <v>0</v>
      </c>
      <c r="AH14" s="28">
        <f>'FY21 Final Initial $$'!AH14/'FY21 FTE'!AH$120</f>
        <v>0</v>
      </c>
      <c r="AI14" s="28">
        <f>'FY21 Final Initial $$'!AI14/'FY21 FTE'!AI$120</f>
        <v>0</v>
      </c>
      <c r="AJ14" s="28">
        <f>'FY21 Final Initial $$'!AJ14/'FY21 FTE'!AJ$120</f>
        <v>0</v>
      </c>
      <c r="AK14" s="28">
        <f>'FY21 Final Initial $$'!AK14/'FY21 FTE'!AK$120</f>
        <v>0</v>
      </c>
      <c r="AL14" s="28">
        <f>'FY21 Final Initial $$'!AL14/'FY21 FTE'!AL$120</f>
        <v>0</v>
      </c>
      <c r="AM14" s="28">
        <f>'FY21 Final Initial $$'!AM14/'FY21 FTE'!AM$120</f>
        <v>0</v>
      </c>
      <c r="AN14" s="28">
        <f>'FY21 Final Initial $$'!AN14/'FY21 FTE'!AN$120</f>
        <v>0</v>
      </c>
      <c r="AO14" s="28">
        <f>'FY21 Final Initial $$'!AO14/'FY21 FTE'!AO$120</f>
        <v>6.0999999999999988</v>
      </c>
      <c r="AP14" s="28">
        <f>'FY21 Final Initial $$'!AP14/'FY21 FTE'!AP$120</f>
        <v>6.5</v>
      </c>
      <c r="AQ14" s="28">
        <f>'FY21 Final Initial $$'!AQ14/'FY21 FTE'!AQ$120</f>
        <v>5.6000000000000005</v>
      </c>
      <c r="AR14" s="28">
        <f>'FY21 Final Initial $$'!AR14/'FY21 FTE'!AR$120</f>
        <v>0</v>
      </c>
      <c r="AS14" s="28">
        <f>'FY21 Final Initial $$'!AS14/'FY21 FTE'!AS$120</f>
        <v>0</v>
      </c>
      <c r="AT14" s="28">
        <f>'FY21 Final Initial $$'!AT14/'FY21 FTE'!AT$120</f>
        <v>0</v>
      </c>
      <c r="AU14" s="28">
        <f>'FY21 Final Initial $$'!AU14/'FY21 FTE'!AU$120</f>
        <v>0</v>
      </c>
      <c r="AV14" s="28">
        <f>'FY21 Final Initial $$'!AV14/'FY21 FTE'!AV$120</f>
        <v>0</v>
      </c>
      <c r="AW14" s="28">
        <f>'FY21 Final Initial $$'!AW14/'FY21 FTE'!AW$120</f>
        <v>0</v>
      </c>
      <c r="AX14" s="28">
        <f>'FY21 Final Initial $$'!AX14/'FY21 FTE'!AX$120</f>
        <v>0</v>
      </c>
      <c r="AY14" s="28">
        <f>'FY21 Final Initial $$'!AY14/'FY21 FTE'!AY$120</f>
        <v>1</v>
      </c>
      <c r="AZ14" s="28">
        <f>'FY21 Final Initial $$'!AZ14/'FY21 FTE'!AZ$120</f>
        <v>2</v>
      </c>
      <c r="BA14" s="28">
        <f>'FY21 Final Initial $$'!BA14/'FY21 FTE'!BA$120</f>
        <v>9</v>
      </c>
      <c r="BB14" s="28">
        <f>'FY21 Final Initial $$'!BB14/'FY21 FTE'!BB$120</f>
        <v>4</v>
      </c>
      <c r="BC14" s="28">
        <f>'FY21 Final Initial $$'!BC14/'FY21 FTE'!BC$120</f>
        <v>0</v>
      </c>
      <c r="BD14" s="28">
        <f>'FY21 Final Initial $$'!BD14/'FY21 FTE'!BD$120</f>
        <v>0</v>
      </c>
      <c r="BE14" s="28">
        <f>'FY21 Final Initial $$'!BE14/'FY21 FTE'!BE$120</f>
        <v>2</v>
      </c>
      <c r="BF14" s="28">
        <f>'FY21 Final Initial $$'!BF14/'FY21 FTE'!BF$120</f>
        <v>0</v>
      </c>
      <c r="BG14" s="28">
        <f>'FY21 Final Initial $$'!BG14/'FY21 FTE'!BG$120</f>
        <v>0</v>
      </c>
      <c r="BH14" s="28">
        <f>'FY21 Final Initial $$'!BH14/'FY21 FTE'!BH$120</f>
        <v>0</v>
      </c>
      <c r="BI14" s="28">
        <f>'FY21 Final Initial $$'!BI14/'FY21 FTE'!BI$120</f>
        <v>0</v>
      </c>
      <c r="BJ14" s="28">
        <f>'FY21 Final Initial $$'!BJ14/'FY21 FTE'!BJ$120</f>
        <v>0</v>
      </c>
      <c r="BK14" s="20">
        <v>0</v>
      </c>
      <c r="BL14" s="20"/>
      <c r="BM14" s="20"/>
      <c r="BN14" s="20">
        <v>153849.12</v>
      </c>
      <c r="BO14" s="20">
        <v>2545.2600000000002</v>
      </c>
      <c r="BP14" s="20">
        <v>0</v>
      </c>
      <c r="BQ14" s="28">
        <f>'FY21 Final Initial $$'!BQ14/'FY21 FTE'!BQ$120</f>
        <v>0</v>
      </c>
      <c r="BR14" s="28">
        <f>'FY21 Final Initial $$'!BR14/'FY21 FTE'!BR$120</f>
        <v>1</v>
      </c>
      <c r="BS14" s="28">
        <f>'FY21 Final Initial $$'!BS14/'FY21 FTE'!BS$120</f>
        <v>0</v>
      </c>
      <c r="BT14" s="28">
        <f>'FY21 Final Initial $$'!BT14/'FY21 FTE'!BT$120</f>
        <v>0</v>
      </c>
      <c r="BU14" s="28">
        <f>'FY21 Final Initial $$'!BU14/'FY21 FTE'!BU$120</f>
        <v>0</v>
      </c>
      <c r="BV14" s="28">
        <f>'FY21 Final Initial $$'!BV14/'FY21 FTE'!BV$120</f>
        <v>0</v>
      </c>
      <c r="BW14" s="28">
        <f>'FY21 Final Initial $$'!BW14/'FY21 FTE'!BW$120</f>
        <v>0</v>
      </c>
      <c r="BX14" s="20">
        <v>0</v>
      </c>
      <c r="BY14" s="20">
        <v>0</v>
      </c>
      <c r="BZ14" s="20">
        <v>0</v>
      </c>
      <c r="CA14" s="20">
        <v>0</v>
      </c>
      <c r="CB14" s="28">
        <f>'FY21 Final Initial $$'!CB14/'FY21 FTE'!CB$120</f>
        <v>0</v>
      </c>
      <c r="CC14" s="28">
        <f>'FY21 Final Initial $$'!CC14/'FY21 FTE'!CC$120</f>
        <v>0</v>
      </c>
      <c r="CD14" s="20">
        <v>0</v>
      </c>
      <c r="CE14" s="28">
        <f>'FY21 Final Initial $$'!CE14/'FY21 FTE'!CE$120</f>
        <v>0</v>
      </c>
      <c r="CF14" s="28">
        <f>'FY21 Final Initial $$'!CF14/'FY21 FTE'!CF$120</f>
        <v>0</v>
      </c>
      <c r="CG14" s="28">
        <f>'FY21 Final Initial $$'!CG14/'FY21 FTE'!CG$120</f>
        <v>0</v>
      </c>
      <c r="CH14" s="28">
        <f>'FY21 Final Initial $$'!CH14/'FY21 FTE'!CH$120</f>
        <v>0</v>
      </c>
      <c r="CI14" s="28">
        <f>'FY21 Final Initial $$'!CI14/'FY21 FTE'!CI$120</f>
        <v>0</v>
      </c>
      <c r="CJ14" s="28">
        <f>'FY21 Final Initial $$'!CJ14/'FY21 FTE'!CJ$120</f>
        <v>0</v>
      </c>
      <c r="CK14" s="28">
        <f>'FY21 Final Initial $$'!CK14/'FY21 FTE'!CK$120</f>
        <v>3</v>
      </c>
      <c r="CL14" s="28">
        <f>'FY21 Final Initial $$'!CL14/'FY21 FTE'!CL$120</f>
        <v>0</v>
      </c>
      <c r="CM14" s="20">
        <v>23000</v>
      </c>
      <c r="CN14" s="20">
        <v>5000</v>
      </c>
      <c r="CO14" s="20">
        <v>244045.91999999998</v>
      </c>
      <c r="CP14" s="20">
        <v>100000</v>
      </c>
      <c r="CQ14" s="28">
        <f>'FY21 Final Initial $$'!CQ14/'FY21 FTE'!CQ$120</f>
        <v>0</v>
      </c>
      <c r="CR14" s="20">
        <v>0</v>
      </c>
      <c r="CS14" s="20">
        <v>3440</v>
      </c>
      <c r="CT14" s="20">
        <v>0</v>
      </c>
      <c r="CU14" s="20">
        <v>31395.772003745318</v>
      </c>
      <c r="CV14" s="28">
        <f>'FY21 Final Initial $$'!CV14/'FY21 FTE'!CV$120</f>
        <v>0</v>
      </c>
      <c r="CW14" s="28">
        <f>'FY21 Final Initial $$'!CW14/'FY21 FTE'!CW$120</f>
        <v>0</v>
      </c>
      <c r="CX14" s="20">
        <v>0</v>
      </c>
      <c r="CY14" s="28">
        <f>'FY21 Final Initial $$'!CY14/'FY21 FTE'!CY$120</f>
        <v>0</v>
      </c>
      <c r="CZ14" s="20">
        <v>0</v>
      </c>
      <c r="DA14" s="20">
        <v>0</v>
      </c>
      <c r="DB14" s="20">
        <v>40100</v>
      </c>
      <c r="DC14" s="20">
        <v>87778.429132147561</v>
      </c>
      <c r="DD14" s="20">
        <v>0</v>
      </c>
      <c r="DE14" s="20">
        <v>200000</v>
      </c>
      <c r="DF14" s="20">
        <v>0</v>
      </c>
      <c r="DG14" s="20">
        <v>0</v>
      </c>
      <c r="DH14" s="28">
        <f>'FY21 Final Initial $$'!DH14/'FY21 FTE'!DH$120</f>
        <v>0</v>
      </c>
      <c r="DI14" s="20"/>
      <c r="DJ14" s="20">
        <v>39975.000058114529</v>
      </c>
      <c r="DK14" s="22">
        <v>0</v>
      </c>
      <c r="DL14" s="20">
        <v>0</v>
      </c>
      <c r="DM14" s="20">
        <v>0</v>
      </c>
      <c r="DN14" s="20">
        <v>6283205.8448056579</v>
      </c>
      <c r="DO14" s="29">
        <f t="shared" si="1"/>
        <v>0</v>
      </c>
      <c r="DP14" s="29">
        <f t="shared" si="1"/>
        <v>0</v>
      </c>
      <c r="DQ14" s="29">
        <f t="shared" si="2"/>
        <v>18.2</v>
      </c>
      <c r="DR14" s="29">
        <f t="shared" si="3"/>
        <v>14</v>
      </c>
      <c r="DS14" s="29">
        <f t="shared" si="4"/>
        <v>4</v>
      </c>
    </row>
    <row r="15" spans="1:123" x14ac:dyDescent="0.25">
      <c r="A15" s="18">
        <v>404</v>
      </c>
      <c r="B15" t="s">
        <v>153</v>
      </c>
      <c r="C15" t="s">
        <v>150</v>
      </c>
      <c r="D15">
        <v>5</v>
      </c>
      <c r="E15">
        <v>475</v>
      </c>
      <c r="F15" s="19">
        <f t="shared" si="0"/>
        <v>0.64</v>
      </c>
      <c r="G15">
        <v>304</v>
      </c>
      <c r="H15" s="28">
        <f>'FY21 Final Initial $$'!H15/'FY21 FTE'!H$120</f>
        <v>1</v>
      </c>
      <c r="I15" s="28">
        <f>'FY21 Final Initial $$'!I15/'FY21 FTE'!I$120</f>
        <v>1</v>
      </c>
      <c r="J15" s="28">
        <f>'FY21 Final Initial $$'!J15/'FY21 FTE'!J$120</f>
        <v>1.3</v>
      </c>
      <c r="K15" s="28">
        <f>'FY21 Final Initial $$'!K15/'FY21 FTE'!K$120</f>
        <v>1</v>
      </c>
      <c r="L15" s="28">
        <f>'FY21 Final Initial $$'!L15/'FY21 FTE'!L$120</f>
        <v>0</v>
      </c>
      <c r="M15" s="28">
        <f>'FY21 Final Initial $$'!M15/'FY21 FTE'!M$120</f>
        <v>1</v>
      </c>
      <c r="N15" s="28">
        <f>'FY21 Final Initial $$'!N15/'FY21 FTE'!N$120</f>
        <v>1</v>
      </c>
      <c r="O15" s="28">
        <f>'FY21 Final Initial $$'!O15/'FY21 FTE'!O$120</f>
        <v>1.2</v>
      </c>
      <c r="P15" s="28">
        <f>'FY21 Final Initial $$'!P15/'FY21 FTE'!P$120</f>
        <v>0</v>
      </c>
      <c r="Q15" s="28">
        <f>'FY21 Final Initial $$'!Q15/'FY21 FTE'!Q$120</f>
        <v>0</v>
      </c>
      <c r="R15" s="28">
        <f>'FY21 Final Initial $$'!R15/'FY21 FTE'!R$120</f>
        <v>0</v>
      </c>
      <c r="S15" s="28">
        <f>'FY21 Final Initial $$'!S15/'FY21 FTE'!S$120</f>
        <v>1</v>
      </c>
      <c r="T15" s="28">
        <f>'FY21 Final Initial $$'!T15/'FY21 FTE'!T$120</f>
        <v>1</v>
      </c>
      <c r="U15" s="28">
        <f>'FY21 Final Initial $$'!U15/'FY21 FTE'!U$120</f>
        <v>7</v>
      </c>
      <c r="V15" s="28">
        <f>'FY21 Final Initial $$'!V15/'FY21 FTE'!V$120</f>
        <v>1</v>
      </c>
      <c r="W15" s="28">
        <f>'FY21 Final Initial $$'!W15/'FY21 FTE'!W$120</f>
        <v>1</v>
      </c>
      <c r="X15" s="28">
        <f>'FY21 Final Initial $$'!X15/'FY21 FTE'!X$120</f>
        <v>1</v>
      </c>
      <c r="Y15" s="28">
        <f>'FY21 Final Initial $$'!Y15/'FY21 FTE'!Y$120</f>
        <v>1</v>
      </c>
      <c r="Z15" s="28">
        <f>'FY21 Final Initial $$'!Z15/'FY21 FTE'!Z$120</f>
        <v>1.4999999999999973</v>
      </c>
      <c r="AA15" s="28">
        <f>'FY21 Final Initial $$'!AA15/'FY21 FTE'!AA$120</f>
        <v>0.5</v>
      </c>
      <c r="AB15" s="28">
        <f>'FY21 Final Initial $$'!AB15/'FY21 FTE'!AB$120</f>
        <v>2</v>
      </c>
      <c r="AC15" s="28">
        <f>'FY21 Final Initial $$'!AC15/'FY21 FTE'!AC$120</f>
        <v>2</v>
      </c>
      <c r="AD15" s="28">
        <f>'FY21 Final Initial $$'!AD15/'FY21 FTE'!AD$120</f>
        <v>0</v>
      </c>
      <c r="AE15" s="28">
        <f>'FY21 Final Initial $$'!AE15/'FY21 FTE'!AE$120</f>
        <v>0</v>
      </c>
      <c r="AF15" s="28">
        <f>'FY21 Final Initial $$'!AF15/'FY21 FTE'!AF$120</f>
        <v>2</v>
      </c>
      <c r="AG15" s="28">
        <f>'FY21 Final Initial $$'!AG15/'FY21 FTE'!AG$120</f>
        <v>2</v>
      </c>
      <c r="AH15" s="28">
        <f>'FY21 Final Initial $$'!AH15/'FY21 FTE'!AH$120</f>
        <v>3</v>
      </c>
      <c r="AI15" s="28">
        <f>'FY21 Final Initial $$'!AI15/'FY21 FTE'!AI$120</f>
        <v>3</v>
      </c>
      <c r="AJ15" s="28">
        <f>'FY21 Final Initial $$'!AJ15/'FY21 FTE'!AJ$120</f>
        <v>2</v>
      </c>
      <c r="AK15" s="28">
        <f>'FY21 Final Initial $$'!AK15/'FY21 FTE'!AK$120</f>
        <v>2</v>
      </c>
      <c r="AL15" s="28">
        <f>'FY21 Final Initial $$'!AL15/'FY21 FTE'!AL$120</f>
        <v>2</v>
      </c>
      <c r="AM15" s="28">
        <f>'FY21 Final Initial $$'!AM15/'FY21 FTE'!AM$120</f>
        <v>2</v>
      </c>
      <c r="AN15" s="28">
        <f>'FY21 Final Initial $$'!AN15/'FY21 FTE'!AN$120</f>
        <v>2.0000000000000027</v>
      </c>
      <c r="AO15" s="28">
        <f>'FY21 Final Initial $$'!AO15/'FY21 FTE'!AO$120</f>
        <v>2.2000000000000002</v>
      </c>
      <c r="AP15" s="28">
        <f>'FY21 Final Initial $$'!AP15/'FY21 FTE'!AP$120</f>
        <v>2.6</v>
      </c>
      <c r="AQ15" s="28">
        <f>'FY21 Final Initial $$'!AQ15/'FY21 FTE'!AQ$120</f>
        <v>1.5</v>
      </c>
      <c r="AR15" s="28">
        <f>'FY21 Final Initial $$'!AR15/'FY21 FTE'!AR$120</f>
        <v>0</v>
      </c>
      <c r="AS15" s="28">
        <f>'FY21 Final Initial $$'!AS15/'FY21 FTE'!AS$120</f>
        <v>0</v>
      </c>
      <c r="AT15" s="28">
        <f>'FY21 Final Initial $$'!AT15/'FY21 FTE'!AT$120</f>
        <v>0</v>
      </c>
      <c r="AU15" s="28">
        <f>'FY21 Final Initial $$'!AU15/'FY21 FTE'!AU$120</f>
        <v>0</v>
      </c>
      <c r="AV15" s="28">
        <f>'FY21 Final Initial $$'!AV15/'FY21 FTE'!AV$120</f>
        <v>0</v>
      </c>
      <c r="AW15" s="28">
        <f>'FY21 Final Initial $$'!AW15/'FY21 FTE'!AW$120</f>
        <v>0</v>
      </c>
      <c r="AX15" s="28">
        <f>'FY21 Final Initial $$'!AX15/'FY21 FTE'!AX$120</f>
        <v>0</v>
      </c>
      <c r="AY15" s="28">
        <f>'FY21 Final Initial $$'!AY15/'FY21 FTE'!AY$120</f>
        <v>1</v>
      </c>
      <c r="AZ15" s="28">
        <f>'FY21 Final Initial $$'!AZ15/'FY21 FTE'!AZ$120</f>
        <v>2</v>
      </c>
      <c r="BA15" s="28">
        <f>'FY21 Final Initial $$'!BA15/'FY21 FTE'!BA$120</f>
        <v>10</v>
      </c>
      <c r="BB15" s="28">
        <f>'FY21 Final Initial $$'!BB15/'FY21 FTE'!BB$120</f>
        <v>6</v>
      </c>
      <c r="BC15" s="28">
        <f>'FY21 Final Initial $$'!BC15/'FY21 FTE'!BC$120</f>
        <v>0</v>
      </c>
      <c r="BD15" s="28">
        <f>'FY21 Final Initial $$'!BD15/'FY21 FTE'!BD$120</f>
        <v>0</v>
      </c>
      <c r="BE15" s="28">
        <f>'FY21 Final Initial $$'!BE15/'FY21 FTE'!BE$120</f>
        <v>4</v>
      </c>
      <c r="BF15" s="28">
        <f>'FY21 Final Initial $$'!BF15/'FY21 FTE'!BF$120</f>
        <v>0</v>
      </c>
      <c r="BG15" s="28">
        <f>'FY21 Final Initial $$'!BG15/'FY21 FTE'!BG$120</f>
        <v>0</v>
      </c>
      <c r="BH15" s="28">
        <f>'FY21 Final Initial $$'!BH15/'FY21 FTE'!BH$120</f>
        <v>2</v>
      </c>
      <c r="BI15" s="28">
        <f>'FY21 Final Initial $$'!BI15/'FY21 FTE'!BI$120</f>
        <v>2</v>
      </c>
      <c r="BJ15" s="28">
        <f>'FY21 Final Initial $$'!BJ15/'FY21 FTE'!BJ$120</f>
        <v>1</v>
      </c>
      <c r="BK15" s="20">
        <v>0</v>
      </c>
      <c r="BL15" s="20"/>
      <c r="BM15" s="20"/>
      <c r="BN15" s="20">
        <v>184533.71</v>
      </c>
      <c r="BO15" s="20">
        <v>3052.9</v>
      </c>
      <c r="BP15" s="20">
        <v>0</v>
      </c>
      <c r="BQ15" s="28">
        <f>'FY21 Final Initial $$'!BQ15/'FY21 FTE'!BQ$120</f>
        <v>0</v>
      </c>
      <c r="BR15" s="28">
        <f>'FY21 Final Initial $$'!BR15/'FY21 FTE'!BR$120</f>
        <v>0</v>
      </c>
      <c r="BS15" s="28">
        <f>'FY21 Final Initial $$'!BS15/'FY21 FTE'!BS$120</f>
        <v>0</v>
      </c>
      <c r="BT15" s="28">
        <f>'FY21 Final Initial $$'!BT15/'FY21 FTE'!BT$120</f>
        <v>0</v>
      </c>
      <c r="BU15" s="28">
        <f>'FY21 Final Initial $$'!BU15/'FY21 FTE'!BU$120</f>
        <v>0</v>
      </c>
      <c r="BV15" s="28">
        <f>'FY21 Final Initial $$'!BV15/'FY21 FTE'!BV$120</f>
        <v>0</v>
      </c>
      <c r="BW15" s="28">
        <f>'FY21 Final Initial $$'!BW15/'FY21 FTE'!BW$120</f>
        <v>0</v>
      </c>
      <c r="BX15" s="20">
        <v>0</v>
      </c>
      <c r="BY15" s="20">
        <v>0</v>
      </c>
      <c r="BZ15" s="20">
        <v>0</v>
      </c>
      <c r="CA15" s="20">
        <v>0</v>
      </c>
      <c r="CB15" s="28">
        <f>'FY21 Final Initial $$'!CB15/'FY21 FTE'!CB$120</f>
        <v>0</v>
      </c>
      <c r="CC15" s="28">
        <f>'FY21 Final Initial $$'!CC15/'FY21 FTE'!CC$120</f>
        <v>0</v>
      </c>
      <c r="CD15" s="20">
        <v>0</v>
      </c>
      <c r="CE15" s="28">
        <f>'FY21 Final Initial $$'!CE15/'FY21 FTE'!CE$120</f>
        <v>0</v>
      </c>
      <c r="CF15" s="28">
        <f>'FY21 Final Initial $$'!CF15/'FY21 FTE'!CF$120</f>
        <v>0</v>
      </c>
      <c r="CG15" s="28">
        <f>'FY21 Final Initial $$'!CG15/'FY21 FTE'!CG$120</f>
        <v>0</v>
      </c>
      <c r="CH15" s="28">
        <f>'FY21 Final Initial $$'!CH15/'FY21 FTE'!CH$120</f>
        <v>0</v>
      </c>
      <c r="CI15" s="28">
        <f>'FY21 Final Initial $$'!CI15/'FY21 FTE'!CI$120</f>
        <v>0</v>
      </c>
      <c r="CJ15" s="28">
        <f>'FY21 Final Initial $$'!CJ15/'FY21 FTE'!CJ$120</f>
        <v>0</v>
      </c>
      <c r="CK15" s="28">
        <f>'FY21 Final Initial $$'!CK15/'FY21 FTE'!CK$120</f>
        <v>2</v>
      </c>
      <c r="CL15" s="28">
        <f>'FY21 Final Initial $$'!CL15/'FY21 FTE'!CL$120</f>
        <v>0</v>
      </c>
      <c r="CM15" s="20">
        <v>23000</v>
      </c>
      <c r="CN15" s="20">
        <v>5000</v>
      </c>
      <c r="CO15" s="20">
        <v>167765.28</v>
      </c>
      <c r="CP15" s="20">
        <v>100000</v>
      </c>
      <c r="CQ15" s="28">
        <f>'FY21 Final Initial $$'!CQ15/'FY21 FTE'!CQ$120</f>
        <v>0</v>
      </c>
      <c r="CR15" s="20">
        <v>0</v>
      </c>
      <c r="CS15" s="20">
        <v>6080</v>
      </c>
      <c r="CT15" s="20">
        <v>139320</v>
      </c>
      <c r="CU15" s="20">
        <v>33595.159178743961</v>
      </c>
      <c r="CV15" s="28">
        <f>'FY21 Final Initial $$'!CV15/'FY21 FTE'!CV$120</f>
        <v>0</v>
      </c>
      <c r="CW15" s="28">
        <f>'FY21 Final Initial $$'!CW15/'FY21 FTE'!CW$120</f>
        <v>0</v>
      </c>
      <c r="CX15" s="20">
        <v>0</v>
      </c>
      <c r="CY15" s="28">
        <f>'FY21 Final Initial $$'!CY15/'FY21 FTE'!CY$120</f>
        <v>0</v>
      </c>
      <c r="CZ15" s="20">
        <v>0</v>
      </c>
      <c r="DA15" s="20">
        <v>0</v>
      </c>
      <c r="DB15" s="20">
        <v>47500</v>
      </c>
      <c r="DC15" s="20">
        <v>118026.2241501207</v>
      </c>
      <c r="DD15" s="20">
        <v>0</v>
      </c>
      <c r="DE15" s="20">
        <v>0</v>
      </c>
      <c r="DF15" s="20">
        <v>0</v>
      </c>
      <c r="DG15" s="20">
        <v>0</v>
      </c>
      <c r="DH15" s="28">
        <f>'FY21 Final Initial $$'!DH15/'FY21 FTE'!DH$120</f>
        <v>0</v>
      </c>
      <c r="DI15" s="20"/>
      <c r="DJ15" s="20">
        <v>38625.000156462193</v>
      </c>
      <c r="DK15" s="22">
        <v>0</v>
      </c>
      <c r="DL15" s="20">
        <v>0</v>
      </c>
      <c r="DM15" s="20">
        <v>0</v>
      </c>
      <c r="DN15" s="20">
        <v>8011699.6492692223</v>
      </c>
      <c r="DO15" s="29">
        <f t="shared" si="1"/>
        <v>7</v>
      </c>
      <c r="DP15" s="29">
        <f t="shared" si="1"/>
        <v>7</v>
      </c>
      <c r="DQ15" s="29">
        <f t="shared" si="2"/>
        <v>16.300000000000004</v>
      </c>
      <c r="DR15" s="29">
        <f t="shared" si="3"/>
        <v>17</v>
      </c>
      <c r="DS15" s="29">
        <f t="shared" si="4"/>
        <v>6</v>
      </c>
    </row>
    <row r="16" spans="1:123" x14ac:dyDescent="0.25">
      <c r="A16" s="18">
        <v>296</v>
      </c>
      <c r="B16" t="s">
        <v>154</v>
      </c>
      <c r="C16" t="s">
        <v>135</v>
      </c>
      <c r="D16">
        <v>1</v>
      </c>
      <c r="E16">
        <v>467</v>
      </c>
      <c r="F16" s="19">
        <f t="shared" si="0"/>
        <v>0.45824411134903642</v>
      </c>
      <c r="G16">
        <v>214</v>
      </c>
      <c r="H16" s="28">
        <f>'FY21 Final Initial $$'!H16/'FY21 FTE'!H$120</f>
        <v>1</v>
      </c>
      <c r="I16" s="28">
        <f>'FY21 Final Initial $$'!I16/'FY21 FTE'!I$120</f>
        <v>1</v>
      </c>
      <c r="J16" s="28">
        <f>'FY21 Final Initial $$'!J16/'FY21 FTE'!J$120</f>
        <v>1.2</v>
      </c>
      <c r="K16" s="28">
        <f>'FY21 Final Initial $$'!K16/'FY21 FTE'!K$120</f>
        <v>0</v>
      </c>
      <c r="L16" s="28">
        <f>'FY21 Final Initial $$'!L16/'FY21 FTE'!L$120</f>
        <v>0</v>
      </c>
      <c r="M16" s="28">
        <f>'FY21 Final Initial $$'!M16/'FY21 FTE'!M$120</f>
        <v>1</v>
      </c>
      <c r="N16" s="28">
        <f>'FY21 Final Initial $$'!N16/'FY21 FTE'!N$120</f>
        <v>1</v>
      </c>
      <c r="O16" s="28">
        <f>'FY21 Final Initial $$'!O16/'FY21 FTE'!O$120</f>
        <v>1.2</v>
      </c>
      <c r="P16" s="28">
        <f>'FY21 Final Initial $$'!P16/'FY21 FTE'!P$120</f>
        <v>0</v>
      </c>
      <c r="Q16" s="28">
        <f>'FY21 Final Initial $$'!Q16/'FY21 FTE'!Q$120</f>
        <v>0</v>
      </c>
      <c r="R16" s="28">
        <f>'FY21 Final Initial $$'!R16/'FY21 FTE'!R$120</f>
        <v>0</v>
      </c>
      <c r="S16" s="28">
        <f>'FY21 Final Initial $$'!S16/'FY21 FTE'!S$120</f>
        <v>1</v>
      </c>
      <c r="T16" s="28">
        <f>'FY21 Final Initial $$'!T16/'FY21 FTE'!T$120</f>
        <v>1</v>
      </c>
      <c r="U16" s="28">
        <f>'FY21 Final Initial $$'!U16/'FY21 FTE'!U$120</f>
        <v>3</v>
      </c>
      <c r="V16" s="28">
        <f>'FY21 Final Initial $$'!V16/'FY21 FTE'!V$120</f>
        <v>1</v>
      </c>
      <c r="W16" s="28">
        <f>'FY21 Final Initial $$'!W16/'FY21 FTE'!W$120</f>
        <v>1</v>
      </c>
      <c r="X16" s="28">
        <f>'FY21 Final Initial $$'!X16/'FY21 FTE'!X$120</f>
        <v>1</v>
      </c>
      <c r="Y16" s="28">
        <f>'FY21 Final Initial $$'!Y16/'FY21 FTE'!Y$120</f>
        <v>1</v>
      </c>
      <c r="Z16" s="28">
        <f>'FY21 Final Initial $$'!Z16/'FY21 FTE'!Z$120</f>
        <v>1.5</v>
      </c>
      <c r="AA16" s="28">
        <f>'FY21 Final Initial $$'!AA16/'FY21 FTE'!AA$120</f>
        <v>0</v>
      </c>
      <c r="AB16" s="28">
        <f>'FY21 Final Initial $$'!AB16/'FY21 FTE'!AB$120</f>
        <v>0</v>
      </c>
      <c r="AC16" s="28">
        <f>'FY21 Final Initial $$'!AC16/'FY21 FTE'!AC$120</f>
        <v>0</v>
      </c>
      <c r="AD16" s="28">
        <f>'FY21 Final Initial $$'!AD16/'FY21 FTE'!AD$120</f>
        <v>6</v>
      </c>
      <c r="AE16" s="28">
        <f>'FY21 Final Initial $$'!AE16/'FY21 FTE'!AE$120</f>
        <v>6</v>
      </c>
      <c r="AF16" s="28">
        <f>'FY21 Final Initial $$'!AF16/'FY21 FTE'!AF$120</f>
        <v>0</v>
      </c>
      <c r="AG16" s="28">
        <f>'FY21 Final Initial $$'!AG16/'FY21 FTE'!AG$120</f>
        <v>0</v>
      </c>
      <c r="AH16" s="28">
        <f>'FY21 Final Initial $$'!AH16/'FY21 FTE'!AH$120</f>
        <v>3</v>
      </c>
      <c r="AI16" s="28">
        <f>'FY21 Final Initial $$'!AI16/'FY21 FTE'!AI$120</f>
        <v>3</v>
      </c>
      <c r="AJ16" s="28">
        <f>'FY21 Final Initial $$'!AJ16/'FY21 FTE'!AJ$120</f>
        <v>3</v>
      </c>
      <c r="AK16" s="28">
        <f>'FY21 Final Initial $$'!AK16/'FY21 FTE'!AK$120</f>
        <v>3</v>
      </c>
      <c r="AL16" s="28">
        <f>'FY21 Final Initial $$'!AL16/'FY21 FTE'!AL$120</f>
        <v>3</v>
      </c>
      <c r="AM16" s="28">
        <f>'FY21 Final Initial $$'!AM16/'FY21 FTE'!AM$120</f>
        <v>3</v>
      </c>
      <c r="AN16" s="28">
        <f>'FY21 Final Initial $$'!AN16/'FY21 FTE'!AN$120</f>
        <v>3.000000000000004</v>
      </c>
      <c r="AO16" s="28">
        <f>'FY21 Final Initial $$'!AO16/'FY21 FTE'!AO$120</f>
        <v>0</v>
      </c>
      <c r="AP16" s="28">
        <f>'FY21 Final Initial $$'!AP16/'FY21 FTE'!AP$120</f>
        <v>0</v>
      </c>
      <c r="AQ16" s="28">
        <f>'FY21 Final Initial $$'!AQ16/'FY21 FTE'!AQ$120</f>
        <v>0</v>
      </c>
      <c r="AR16" s="28">
        <f>'FY21 Final Initial $$'!AR16/'FY21 FTE'!AR$120</f>
        <v>0</v>
      </c>
      <c r="AS16" s="28">
        <f>'FY21 Final Initial $$'!AS16/'FY21 FTE'!AS$120</f>
        <v>0</v>
      </c>
      <c r="AT16" s="28">
        <f>'FY21 Final Initial $$'!AT16/'FY21 FTE'!AT$120</f>
        <v>0</v>
      </c>
      <c r="AU16" s="28">
        <f>'FY21 Final Initial $$'!AU16/'FY21 FTE'!AU$120</f>
        <v>0</v>
      </c>
      <c r="AV16" s="28">
        <f>'FY21 Final Initial $$'!AV16/'FY21 FTE'!AV$120</f>
        <v>0</v>
      </c>
      <c r="AW16" s="28">
        <f>'FY21 Final Initial $$'!AW16/'FY21 FTE'!AW$120</f>
        <v>0</v>
      </c>
      <c r="AX16" s="28">
        <f>'FY21 Final Initial $$'!AX16/'FY21 FTE'!AX$120</f>
        <v>0</v>
      </c>
      <c r="AY16" s="28">
        <f>'FY21 Final Initial $$'!AY16/'FY21 FTE'!AY$120</f>
        <v>1</v>
      </c>
      <c r="AZ16" s="28">
        <f>'FY21 Final Initial $$'!AZ16/'FY21 FTE'!AZ$120</f>
        <v>2</v>
      </c>
      <c r="BA16" s="28">
        <f>'FY21 Final Initial $$'!BA16/'FY21 FTE'!BA$120</f>
        <v>4</v>
      </c>
      <c r="BB16" s="28">
        <f>'FY21 Final Initial $$'!BB16/'FY21 FTE'!BB$120</f>
        <v>0</v>
      </c>
      <c r="BC16" s="28">
        <f>'FY21 Final Initial $$'!BC16/'FY21 FTE'!BC$120</f>
        <v>0</v>
      </c>
      <c r="BD16" s="28">
        <f>'FY21 Final Initial $$'!BD16/'FY21 FTE'!BD$120</f>
        <v>0</v>
      </c>
      <c r="BE16" s="28">
        <f>'FY21 Final Initial $$'!BE16/'FY21 FTE'!BE$120</f>
        <v>14</v>
      </c>
      <c r="BF16" s="28">
        <f>'FY21 Final Initial $$'!BF16/'FY21 FTE'!BF$120</f>
        <v>1</v>
      </c>
      <c r="BG16" s="28">
        <f>'FY21 Final Initial $$'!BG16/'FY21 FTE'!BG$120</f>
        <v>3</v>
      </c>
      <c r="BH16" s="28">
        <f>'FY21 Final Initial $$'!BH16/'FY21 FTE'!BH$120</f>
        <v>0</v>
      </c>
      <c r="BI16" s="28">
        <f>'FY21 Final Initial $$'!BI16/'FY21 FTE'!BI$120</f>
        <v>0</v>
      </c>
      <c r="BJ16" s="28">
        <f>'FY21 Final Initial $$'!BJ16/'FY21 FTE'!BJ$120</f>
        <v>0</v>
      </c>
      <c r="BK16" s="20">
        <v>0</v>
      </c>
      <c r="BL16" s="20"/>
      <c r="BM16" s="20"/>
      <c r="BN16" s="20">
        <v>201580.7</v>
      </c>
      <c r="BO16" s="20">
        <v>3334.93</v>
      </c>
      <c r="BP16" s="20">
        <v>0</v>
      </c>
      <c r="BQ16" s="28">
        <f>'FY21 Final Initial $$'!BQ16/'FY21 FTE'!BQ$120</f>
        <v>0</v>
      </c>
      <c r="BR16" s="28">
        <f>'FY21 Final Initial $$'!BR16/'FY21 FTE'!BR$120</f>
        <v>0</v>
      </c>
      <c r="BS16" s="28">
        <f>'FY21 Final Initial $$'!BS16/'FY21 FTE'!BS$120</f>
        <v>0</v>
      </c>
      <c r="BT16" s="28">
        <f>'FY21 Final Initial $$'!BT16/'FY21 FTE'!BT$120</f>
        <v>0</v>
      </c>
      <c r="BU16" s="28">
        <f>'FY21 Final Initial $$'!BU16/'FY21 FTE'!BU$120</f>
        <v>0</v>
      </c>
      <c r="BV16" s="28">
        <f>'FY21 Final Initial $$'!BV16/'FY21 FTE'!BV$120</f>
        <v>0</v>
      </c>
      <c r="BW16" s="28">
        <f>'FY21 Final Initial $$'!BW16/'FY21 FTE'!BW$120</f>
        <v>0</v>
      </c>
      <c r="BX16" s="20">
        <v>0</v>
      </c>
      <c r="BY16" s="20">
        <v>0</v>
      </c>
      <c r="BZ16" s="20">
        <v>0</v>
      </c>
      <c r="CA16" s="20">
        <v>0</v>
      </c>
      <c r="CB16" s="28">
        <f>'FY21 Final Initial $$'!CB16/'FY21 FTE'!CB$120</f>
        <v>0</v>
      </c>
      <c r="CC16" s="28">
        <f>'FY21 Final Initial $$'!CC16/'FY21 FTE'!CC$120</f>
        <v>0</v>
      </c>
      <c r="CD16" s="20">
        <v>0</v>
      </c>
      <c r="CE16" s="28">
        <f>'FY21 Final Initial $$'!CE16/'FY21 FTE'!CE$120</f>
        <v>0</v>
      </c>
      <c r="CF16" s="28">
        <f>'FY21 Final Initial $$'!CF16/'FY21 FTE'!CF$120</f>
        <v>0</v>
      </c>
      <c r="CG16" s="28">
        <f>'FY21 Final Initial $$'!CG16/'FY21 FTE'!CG$120</f>
        <v>0</v>
      </c>
      <c r="CH16" s="28">
        <f>'FY21 Final Initial $$'!CH16/'FY21 FTE'!CH$120</f>
        <v>0</v>
      </c>
      <c r="CI16" s="28">
        <f>'FY21 Final Initial $$'!CI16/'FY21 FTE'!CI$120</f>
        <v>0</v>
      </c>
      <c r="CJ16" s="28">
        <f>'FY21 Final Initial $$'!CJ16/'FY21 FTE'!CJ$120</f>
        <v>0</v>
      </c>
      <c r="CK16" s="28">
        <f>'FY21 Final Initial $$'!CK16/'FY21 FTE'!CK$120</f>
        <v>0</v>
      </c>
      <c r="CL16" s="28">
        <f>'FY21 Final Initial $$'!CL16/'FY21 FTE'!CL$120</f>
        <v>0</v>
      </c>
      <c r="CM16" s="20">
        <v>0</v>
      </c>
      <c r="CN16" s="20">
        <v>0</v>
      </c>
      <c r="CO16" s="20">
        <v>55921.759999999995</v>
      </c>
      <c r="CP16" s="20">
        <v>0</v>
      </c>
      <c r="CQ16" s="28">
        <f>'FY21 Final Initial $$'!CQ16/'FY21 FTE'!CQ$120</f>
        <v>0</v>
      </c>
      <c r="CR16" s="20">
        <v>0</v>
      </c>
      <c r="CS16" s="20">
        <v>4280</v>
      </c>
      <c r="CT16" s="20">
        <v>50400</v>
      </c>
      <c r="CU16" s="20">
        <v>27140.515763546799</v>
      </c>
      <c r="CV16" s="28">
        <f>'FY21 Final Initial $$'!CV16/'FY21 FTE'!CV$120</f>
        <v>0</v>
      </c>
      <c r="CW16" s="28">
        <f>'FY21 Final Initial $$'!CW16/'FY21 FTE'!CW$120</f>
        <v>0</v>
      </c>
      <c r="CX16" s="20">
        <v>0</v>
      </c>
      <c r="CY16" s="28">
        <f>'FY21 Final Initial $$'!CY16/'FY21 FTE'!CY$120</f>
        <v>0</v>
      </c>
      <c r="CZ16" s="20">
        <v>0</v>
      </c>
      <c r="DA16" s="20">
        <v>0</v>
      </c>
      <c r="DB16" s="20">
        <v>46700</v>
      </c>
      <c r="DC16" s="20">
        <v>117421.39737226645</v>
      </c>
      <c r="DD16" s="20">
        <v>0</v>
      </c>
      <c r="DE16" s="20">
        <v>0</v>
      </c>
      <c r="DF16" s="20">
        <v>0</v>
      </c>
      <c r="DG16" s="20">
        <v>0</v>
      </c>
      <c r="DH16" s="28">
        <f>'FY21 Final Initial $$'!DH16/'FY21 FTE'!DH$120</f>
        <v>0</v>
      </c>
      <c r="DI16" s="20"/>
      <c r="DJ16" s="20">
        <v>14025.00018030405</v>
      </c>
      <c r="DK16" s="22">
        <v>0</v>
      </c>
      <c r="DL16" s="20">
        <v>0</v>
      </c>
      <c r="DM16" s="20">
        <v>0</v>
      </c>
      <c r="DN16" s="20">
        <v>7763658.7984879464</v>
      </c>
      <c r="DO16" s="29">
        <f t="shared" si="1"/>
        <v>9</v>
      </c>
      <c r="DP16" s="29">
        <f t="shared" si="1"/>
        <v>9</v>
      </c>
      <c r="DQ16" s="29">
        <f t="shared" si="2"/>
        <v>15.000000000000004</v>
      </c>
      <c r="DR16" s="29">
        <f t="shared" si="3"/>
        <v>24</v>
      </c>
      <c r="DS16" s="29">
        <f t="shared" si="4"/>
        <v>1</v>
      </c>
    </row>
    <row r="17" spans="1:123" x14ac:dyDescent="0.25">
      <c r="A17" s="18">
        <v>219</v>
      </c>
      <c r="B17" t="s">
        <v>155</v>
      </c>
      <c r="C17" t="s">
        <v>135</v>
      </c>
      <c r="D17">
        <v>5</v>
      </c>
      <c r="E17">
        <v>247</v>
      </c>
      <c r="F17" s="19">
        <f t="shared" si="0"/>
        <v>0.50202429149797567</v>
      </c>
      <c r="G17">
        <v>124</v>
      </c>
      <c r="H17" s="28">
        <f>'FY21 Final Initial $$'!H17/'FY21 FTE'!H$120</f>
        <v>1</v>
      </c>
      <c r="I17" s="28">
        <f>'FY21 Final Initial $$'!I17/'FY21 FTE'!I$120</f>
        <v>1</v>
      </c>
      <c r="J17" s="28">
        <f>'FY21 Final Initial $$'!J17/'FY21 FTE'!J$120</f>
        <v>0</v>
      </c>
      <c r="K17" s="28">
        <f>'FY21 Final Initial $$'!K17/'FY21 FTE'!K$120</f>
        <v>0</v>
      </c>
      <c r="L17" s="28">
        <f>'FY21 Final Initial $$'!L17/'FY21 FTE'!L$120</f>
        <v>0</v>
      </c>
      <c r="M17" s="28">
        <f>'FY21 Final Initial $$'!M17/'FY21 FTE'!M$120</f>
        <v>0.5</v>
      </c>
      <c r="N17" s="28">
        <f>'FY21 Final Initial $$'!N17/'FY21 FTE'!N$120</f>
        <v>1</v>
      </c>
      <c r="O17" s="28">
        <f>'FY21 Final Initial $$'!O17/'FY21 FTE'!O$120</f>
        <v>0</v>
      </c>
      <c r="P17" s="28">
        <f>'FY21 Final Initial $$'!P17/'FY21 FTE'!P$120</f>
        <v>0</v>
      </c>
      <c r="Q17" s="28">
        <f>'FY21 Final Initial $$'!Q17/'FY21 FTE'!Q$120</f>
        <v>0</v>
      </c>
      <c r="R17" s="28">
        <f>'FY21 Final Initial $$'!R17/'FY21 FTE'!R$120</f>
        <v>0</v>
      </c>
      <c r="S17" s="28">
        <f>'FY21 Final Initial $$'!S17/'FY21 FTE'!S$120</f>
        <v>1</v>
      </c>
      <c r="T17" s="28">
        <f>'FY21 Final Initial $$'!T17/'FY21 FTE'!T$120</f>
        <v>1</v>
      </c>
      <c r="U17" s="28">
        <f>'FY21 Final Initial $$'!U17/'FY21 FTE'!U$120</f>
        <v>1</v>
      </c>
      <c r="V17" s="28">
        <f>'FY21 Final Initial $$'!V17/'FY21 FTE'!V$120</f>
        <v>0.5</v>
      </c>
      <c r="W17" s="28">
        <f>'FY21 Final Initial $$'!W17/'FY21 FTE'!W$120</f>
        <v>1</v>
      </c>
      <c r="X17" s="28">
        <f>'FY21 Final Initial $$'!X17/'FY21 FTE'!X$120</f>
        <v>1</v>
      </c>
      <c r="Y17" s="28">
        <f>'FY21 Final Initial $$'!Y17/'FY21 FTE'!Y$120</f>
        <v>1</v>
      </c>
      <c r="Z17" s="28">
        <f>'FY21 Final Initial $$'!Z17/'FY21 FTE'!Z$120</f>
        <v>0</v>
      </c>
      <c r="AA17" s="28">
        <f>'FY21 Final Initial $$'!AA17/'FY21 FTE'!AA$120</f>
        <v>0</v>
      </c>
      <c r="AB17" s="28">
        <f>'FY21 Final Initial $$'!AB17/'FY21 FTE'!AB$120</f>
        <v>2</v>
      </c>
      <c r="AC17" s="28">
        <f>'FY21 Final Initial $$'!AC17/'FY21 FTE'!AC$120</f>
        <v>2</v>
      </c>
      <c r="AD17" s="28">
        <f>'FY21 Final Initial $$'!AD17/'FY21 FTE'!AD$120</f>
        <v>1</v>
      </c>
      <c r="AE17" s="28">
        <f>'FY21 Final Initial $$'!AE17/'FY21 FTE'!AE$120</f>
        <v>1</v>
      </c>
      <c r="AF17" s="28">
        <f>'FY21 Final Initial $$'!AF17/'FY21 FTE'!AF$120</f>
        <v>2</v>
      </c>
      <c r="AG17" s="28">
        <f>'FY21 Final Initial $$'!AG17/'FY21 FTE'!AG$120</f>
        <v>2</v>
      </c>
      <c r="AH17" s="28">
        <f>'FY21 Final Initial $$'!AH17/'FY21 FTE'!AH$120</f>
        <v>1</v>
      </c>
      <c r="AI17" s="28">
        <f>'FY21 Final Initial $$'!AI17/'FY21 FTE'!AI$120</f>
        <v>1</v>
      </c>
      <c r="AJ17" s="28">
        <f>'FY21 Final Initial $$'!AJ17/'FY21 FTE'!AJ$120</f>
        <v>2</v>
      </c>
      <c r="AK17" s="28">
        <f>'FY21 Final Initial $$'!AK17/'FY21 FTE'!AK$120</f>
        <v>2</v>
      </c>
      <c r="AL17" s="28">
        <f>'FY21 Final Initial $$'!AL17/'FY21 FTE'!AL$120</f>
        <v>2</v>
      </c>
      <c r="AM17" s="28">
        <f>'FY21 Final Initial $$'!AM17/'FY21 FTE'!AM$120</f>
        <v>1</v>
      </c>
      <c r="AN17" s="28">
        <f>'FY21 Final Initial $$'!AN17/'FY21 FTE'!AN$120</f>
        <v>1.0000000000000013</v>
      </c>
      <c r="AO17" s="28">
        <f>'FY21 Final Initial $$'!AO17/'FY21 FTE'!AO$120</f>
        <v>0</v>
      </c>
      <c r="AP17" s="28">
        <f>'FY21 Final Initial $$'!AP17/'FY21 FTE'!AP$120</f>
        <v>0</v>
      </c>
      <c r="AQ17" s="28">
        <f>'FY21 Final Initial $$'!AQ17/'FY21 FTE'!AQ$120</f>
        <v>0</v>
      </c>
      <c r="AR17" s="28">
        <f>'FY21 Final Initial $$'!AR17/'FY21 FTE'!AR$120</f>
        <v>0</v>
      </c>
      <c r="AS17" s="28">
        <f>'FY21 Final Initial $$'!AS17/'FY21 FTE'!AS$120</f>
        <v>0</v>
      </c>
      <c r="AT17" s="28">
        <f>'FY21 Final Initial $$'!AT17/'FY21 FTE'!AT$120</f>
        <v>0</v>
      </c>
      <c r="AU17" s="28">
        <f>'FY21 Final Initial $$'!AU17/'FY21 FTE'!AU$120</f>
        <v>0</v>
      </c>
      <c r="AV17" s="28">
        <f>'FY21 Final Initial $$'!AV17/'FY21 FTE'!AV$120</f>
        <v>0</v>
      </c>
      <c r="AW17" s="28">
        <f>'FY21 Final Initial $$'!AW17/'FY21 FTE'!AW$120</f>
        <v>0</v>
      </c>
      <c r="AX17" s="28">
        <f>'FY21 Final Initial $$'!AX17/'FY21 FTE'!AX$120</f>
        <v>0</v>
      </c>
      <c r="AY17" s="28">
        <f>'FY21 Final Initial $$'!AY17/'FY21 FTE'!AY$120</f>
        <v>0.5</v>
      </c>
      <c r="AZ17" s="28">
        <f>'FY21 Final Initial $$'!AZ17/'FY21 FTE'!AZ$120</f>
        <v>1</v>
      </c>
      <c r="BA17" s="28">
        <f>'FY21 Final Initial $$'!BA17/'FY21 FTE'!BA$120</f>
        <v>6</v>
      </c>
      <c r="BB17" s="28">
        <f>'FY21 Final Initial $$'!BB17/'FY21 FTE'!BB$120</f>
        <v>6</v>
      </c>
      <c r="BC17" s="28">
        <f>'FY21 Final Initial $$'!BC17/'FY21 FTE'!BC$120</f>
        <v>0</v>
      </c>
      <c r="BD17" s="28">
        <f>'FY21 Final Initial $$'!BD17/'FY21 FTE'!BD$120</f>
        <v>0</v>
      </c>
      <c r="BE17" s="28">
        <f>'FY21 Final Initial $$'!BE17/'FY21 FTE'!BE$120</f>
        <v>2</v>
      </c>
      <c r="BF17" s="28">
        <f>'FY21 Final Initial $$'!BF17/'FY21 FTE'!BF$120</f>
        <v>0</v>
      </c>
      <c r="BG17" s="28">
        <f>'FY21 Final Initial $$'!BG17/'FY21 FTE'!BG$120</f>
        <v>0</v>
      </c>
      <c r="BH17" s="28">
        <f>'FY21 Final Initial $$'!BH17/'FY21 FTE'!BH$120</f>
        <v>2</v>
      </c>
      <c r="BI17" s="28">
        <f>'FY21 Final Initial $$'!BI17/'FY21 FTE'!BI$120</f>
        <v>2</v>
      </c>
      <c r="BJ17" s="28">
        <f>'FY21 Final Initial $$'!BJ17/'FY21 FTE'!BJ$120</f>
        <v>1</v>
      </c>
      <c r="BK17" s="20">
        <v>0</v>
      </c>
      <c r="BL17" s="20"/>
      <c r="BM17" s="20"/>
      <c r="BN17" s="20">
        <v>98020.21</v>
      </c>
      <c r="BO17" s="20">
        <v>1621.64</v>
      </c>
      <c r="BP17" s="20">
        <v>0</v>
      </c>
      <c r="BQ17" s="28">
        <f>'FY21 Final Initial $$'!BQ17/'FY21 FTE'!BQ$120</f>
        <v>0</v>
      </c>
      <c r="BR17" s="28">
        <f>'FY21 Final Initial $$'!BR17/'FY21 FTE'!BR$120</f>
        <v>0</v>
      </c>
      <c r="BS17" s="28">
        <f>'FY21 Final Initial $$'!BS17/'FY21 FTE'!BS$120</f>
        <v>0</v>
      </c>
      <c r="BT17" s="28">
        <f>'FY21 Final Initial $$'!BT17/'FY21 FTE'!BT$120</f>
        <v>0</v>
      </c>
      <c r="BU17" s="28">
        <f>'FY21 Final Initial $$'!BU17/'FY21 FTE'!BU$120</f>
        <v>0</v>
      </c>
      <c r="BV17" s="28">
        <f>'FY21 Final Initial $$'!BV17/'FY21 FTE'!BV$120</f>
        <v>0</v>
      </c>
      <c r="BW17" s="28">
        <f>'FY21 Final Initial $$'!BW17/'FY21 FTE'!BW$120</f>
        <v>0</v>
      </c>
      <c r="BX17" s="20">
        <v>0</v>
      </c>
      <c r="BY17" s="20">
        <v>0</v>
      </c>
      <c r="BZ17" s="20">
        <v>0</v>
      </c>
      <c r="CA17" s="20">
        <v>0</v>
      </c>
      <c r="CB17" s="28">
        <f>'FY21 Final Initial $$'!CB17/'FY21 FTE'!CB$120</f>
        <v>0</v>
      </c>
      <c r="CC17" s="28">
        <f>'FY21 Final Initial $$'!CC17/'FY21 FTE'!CC$120</f>
        <v>0</v>
      </c>
      <c r="CD17" s="20">
        <v>0</v>
      </c>
      <c r="CE17" s="28">
        <f>'FY21 Final Initial $$'!CE17/'FY21 FTE'!CE$120</f>
        <v>0</v>
      </c>
      <c r="CF17" s="28">
        <f>'FY21 Final Initial $$'!CF17/'FY21 FTE'!CF$120</f>
        <v>0</v>
      </c>
      <c r="CG17" s="28">
        <f>'FY21 Final Initial $$'!CG17/'FY21 FTE'!CG$120</f>
        <v>0</v>
      </c>
      <c r="CH17" s="28">
        <f>'FY21 Final Initial $$'!CH17/'FY21 FTE'!CH$120</f>
        <v>0</v>
      </c>
      <c r="CI17" s="28">
        <f>'FY21 Final Initial $$'!CI17/'FY21 FTE'!CI$120</f>
        <v>0</v>
      </c>
      <c r="CJ17" s="28">
        <f>'FY21 Final Initial $$'!CJ17/'FY21 FTE'!CJ$120</f>
        <v>0</v>
      </c>
      <c r="CK17" s="28">
        <f>'FY21 Final Initial $$'!CK17/'FY21 FTE'!CK$120</f>
        <v>0</v>
      </c>
      <c r="CL17" s="28">
        <f>'FY21 Final Initial $$'!CL17/'FY21 FTE'!CL$120</f>
        <v>0</v>
      </c>
      <c r="CM17" s="20">
        <v>0</v>
      </c>
      <c r="CN17" s="20">
        <v>0</v>
      </c>
      <c r="CO17" s="20">
        <v>55921.759999999995</v>
      </c>
      <c r="CP17" s="20">
        <v>0</v>
      </c>
      <c r="CQ17" s="28">
        <f>'FY21 Final Initial $$'!CQ17/'FY21 FTE'!CQ$120</f>
        <v>0</v>
      </c>
      <c r="CR17" s="20">
        <v>0</v>
      </c>
      <c r="CS17" s="20">
        <v>2480</v>
      </c>
      <c r="CT17" s="20">
        <v>0</v>
      </c>
      <c r="CU17" s="20">
        <v>14120.628509532064</v>
      </c>
      <c r="CV17" s="28">
        <f>'FY21 Final Initial $$'!CV17/'FY21 FTE'!CV$120</f>
        <v>0</v>
      </c>
      <c r="CW17" s="28">
        <f>'FY21 Final Initial $$'!CW17/'FY21 FTE'!CW$120</f>
        <v>0</v>
      </c>
      <c r="CX17" s="20">
        <v>0</v>
      </c>
      <c r="CY17" s="28">
        <f>'FY21 Final Initial $$'!CY17/'FY21 FTE'!CY$120</f>
        <v>0</v>
      </c>
      <c r="CZ17" s="20">
        <v>0</v>
      </c>
      <c r="DA17" s="20">
        <v>0</v>
      </c>
      <c r="DB17" s="20">
        <v>24700</v>
      </c>
      <c r="DC17" s="20">
        <v>64232.203244050688</v>
      </c>
      <c r="DD17" s="20">
        <v>0</v>
      </c>
      <c r="DE17" s="20">
        <v>0</v>
      </c>
      <c r="DF17" s="20">
        <v>0</v>
      </c>
      <c r="DG17" s="20">
        <v>0</v>
      </c>
      <c r="DH17" s="28">
        <f>'FY21 Final Initial $$'!DH17/'FY21 FTE'!DH$120</f>
        <v>0</v>
      </c>
      <c r="DI17" s="20"/>
      <c r="DJ17" s="20">
        <v>10449.999791011214</v>
      </c>
      <c r="DK17" s="22">
        <v>0</v>
      </c>
      <c r="DL17" s="20">
        <v>0</v>
      </c>
      <c r="DM17" s="20">
        <v>0</v>
      </c>
      <c r="DN17" s="20">
        <v>4314824.2827899782</v>
      </c>
      <c r="DO17" s="29">
        <f t="shared" si="1"/>
        <v>6</v>
      </c>
      <c r="DP17" s="29">
        <f t="shared" si="1"/>
        <v>6</v>
      </c>
      <c r="DQ17" s="29">
        <f t="shared" si="2"/>
        <v>8.0000000000000018</v>
      </c>
      <c r="DR17" s="29">
        <f t="shared" si="3"/>
        <v>9.5</v>
      </c>
      <c r="DS17" s="29">
        <f t="shared" si="4"/>
        <v>6</v>
      </c>
    </row>
    <row r="18" spans="1:123" x14ac:dyDescent="0.25">
      <c r="A18" s="18">
        <v>220</v>
      </c>
      <c r="B18" t="s">
        <v>156</v>
      </c>
      <c r="C18" t="s">
        <v>135</v>
      </c>
      <c r="D18">
        <v>5</v>
      </c>
      <c r="E18">
        <v>284</v>
      </c>
      <c r="F18" s="19">
        <f t="shared" si="0"/>
        <v>0.43661971830985913</v>
      </c>
      <c r="G18">
        <v>124</v>
      </c>
      <c r="H18" s="28">
        <f>'FY21 Final Initial $$'!H18/'FY21 FTE'!H$120</f>
        <v>1</v>
      </c>
      <c r="I18" s="28">
        <f>'FY21 Final Initial $$'!I18/'FY21 FTE'!I$120</f>
        <v>1</v>
      </c>
      <c r="J18" s="28">
        <f>'FY21 Final Initial $$'!J18/'FY21 FTE'!J$120</f>
        <v>0</v>
      </c>
      <c r="K18" s="28">
        <f>'FY21 Final Initial $$'!K18/'FY21 FTE'!K$120</f>
        <v>0</v>
      </c>
      <c r="L18" s="28">
        <f>'FY21 Final Initial $$'!L18/'FY21 FTE'!L$120</f>
        <v>0</v>
      </c>
      <c r="M18" s="28">
        <f>'FY21 Final Initial $$'!M18/'FY21 FTE'!M$120</f>
        <v>0.5</v>
      </c>
      <c r="N18" s="28">
        <f>'FY21 Final Initial $$'!N18/'FY21 FTE'!N$120</f>
        <v>1</v>
      </c>
      <c r="O18" s="28">
        <f>'FY21 Final Initial $$'!O18/'FY21 FTE'!O$120</f>
        <v>0</v>
      </c>
      <c r="P18" s="28">
        <f>'FY21 Final Initial $$'!P18/'FY21 FTE'!P$120</f>
        <v>0</v>
      </c>
      <c r="Q18" s="28">
        <f>'FY21 Final Initial $$'!Q18/'FY21 FTE'!Q$120</f>
        <v>0</v>
      </c>
      <c r="R18" s="28">
        <f>'FY21 Final Initial $$'!R18/'FY21 FTE'!R$120</f>
        <v>0</v>
      </c>
      <c r="S18" s="28">
        <f>'FY21 Final Initial $$'!S18/'FY21 FTE'!S$120</f>
        <v>1</v>
      </c>
      <c r="T18" s="28">
        <f>'FY21 Final Initial $$'!T18/'FY21 FTE'!T$120</f>
        <v>1</v>
      </c>
      <c r="U18" s="28">
        <f>'FY21 Final Initial $$'!U18/'FY21 FTE'!U$120</f>
        <v>1</v>
      </c>
      <c r="V18" s="28">
        <f>'FY21 Final Initial $$'!V18/'FY21 FTE'!V$120</f>
        <v>0.5</v>
      </c>
      <c r="W18" s="28">
        <f>'FY21 Final Initial $$'!W18/'FY21 FTE'!W$120</f>
        <v>1</v>
      </c>
      <c r="X18" s="28">
        <f>'FY21 Final Initial $$'!X18/'FY21 FTE'!X$120</f>
        <v>1</v>
      </c>
      <c r="Y18" s="28">
        <f>'FY21 Final Initial $$'!Y18/'FY21 FTE'!Y$120</f>
        <v>1</v>
      </c>
      <c r="Z18" s="28">
        <f>'FY21 Final Initial $$'!Z18/'FY21 FTE'!Z$120</f>
        <v>0</v>
      </c>
      <c r="AA18" s="28">
        <f>'FY21 Final Initial $$'!AA18/'FY21 FTE'!AA$120</f>
        <v>0</v>
      </c>
      <c r="AB18" s="28">
        <f>'FY21 Final Initial $$'!AB18/'FY21 FTE'!AB$120</f>
        <v>2</v>
      </c>
      <c r="AC18" s="28">
        <f>'FY21 Final Initial $$'!AC18/'FY21 FTE'!AC$120</f>
        <v>2</v>
      </c>
      <c r="AD18" s="28">
        <f>'FY21 Final Initial $$'!AD18/'FY21 FTE'!AD$120</f>
        <v>1</v>
      </c>
      <c r="AE18" s="28">
        <f>'FY21 Final Initial $$'!AE18/'FY21 FTE'!AE$120</f>
        <v>2</v>
      </c>
      <c r="AF18" s="28">
        <f>'FY21 Final Initial $$'!AF18/'FY21 FTE'!AF$120</f>
        <v>2</v>
      </c>
      <c r="AG18" s="28">
        <f>'FY21 Final Initial $$'!AG18/'FY21 FTE'!AG$120</f>
        <v>2</v>
      </c>
      <c r="AH18" s="28">
        <f>'FY21 Final Initial $$'!AH18/'FY21 FTE'!AH$120</f>
        <v>2</v>
      </c>
      <c r="AI18" s="28">
        <f>'FY21 Final Initial $$'!AI18/'FY21 FTE'!AI$120</f>
        <v>2</v>
      </c>
      <c r="AJ18" s="28">
        <f>'FY21 Final Initial $$'!AJ18/'FY21 FTE'!AJ$120</f>
        <v>2</v>
      </c>
      <c r="AK18" s="28">
        <f>'FY21 Final Initial $$'!AK18/'FY21 FTE'!AK$120</f>
        <v>2</v>
      </c>
      <c r="AL18" s="28">
        <f>'FY21 Final Initial $$'!AL18/'FY21 FTE'!AL$120</f>
        <v>2</v>
      </c>
      <c r="AM18" s="28">
        <f>'FY21 Final Initial $$'!AM18/'FY21 FTE'!AM$120</f>
        <v>2</v>
      </c>
      <c r="AN18" s="28">
        <f>'FY21 Final Initial $$'!AN18/'FY21 FTE'!AN$120</f>
        <v>2.0000000000000027</v>
      </c>
      <c r="AO18" s="28">
        <f>'FY21 Final Initial $$'!AO18/'FY21 FTE'!AO$120</f>
        <v>0</v>
      </c>
      <c r="AP18" s="28">
        <f>'FY21 Final Initial $$'!AP18/'FY21 FTE'!AP$120</f>
        <v>0</v>
      </c>
      <c r="AQ18" s="28">
        <f>'FY21 Final Initial $$'!AQ18/'FY21 FTE'!AQ$120</f>
        <v>0</v>
      </c>
      <c r="AR18" s="28">
        <f>'FY21 Final Initial $$'!AR18/'FY21 FTE'!AR$120</f>
        <v>0</v>
      </c>
      <c r="AS18" s="28">
        <f>'FY21 Final Initial $$'!AS18/'FY21 FTE'!AS$120</f>
        <v>0</v>
      </c>
      <c r="AT18" s="28">
        <f>'FY21 Final Initial $$'!AT18/'FY21 FTE'!AT$120</f>
        <v>0</v>
      </c>
      <c r="AU18" s="28">
        <f>'FY21 Final Initial $$'!AU18/'FY21 FTE'!AU$120</f>
        <v>0</v>
      </c>
      <c r="AV18" s="28">
        <f>'FY21 Final Initial $$'!AV18/'FY21 FTE'!AV$120</f>
        <v>0</v>
      </c>
      <c r="AW18" s="28">
        <f>'FY21 Final Initial $$'!AW18/'FY21 FTE'!AW$120</f>
        <v>0</v>
      </c>
      <c r="AX18" s="28">
        <f>'FY21 Final Initial $$'!AX18/'FY21 FTE'!AX$120</f>
        <v>0</v>
      </c>
      <c r="AY18" s="28">
        <f>'FY21 Final Initial $$'!AY18/'FY21 FTE'!AY$120</f>
        <v>1</v>
      </c>
      <c r="AZ18" s="28">
        <f>'FY21 Final Initial $$'!AZ18/'FY21 FTE'!AZ$120</f>
        <v>1</v>
      </c>
      <c r="BA18" s="28">
        <f>'FY21 Final Initial $$'!BA18/'FY21 FTE'!BA$120</f>
        <v>7</v>
      </c>
      <c r="BB18" s="28">
        <f>'FY21 Final Initial $$'!BB18/'FY21 FTE'!BB$120</f>
        <v>6</v>
      </c>
      <c r="BC18" s="28">
        <f>'FY21 Final Initial $$'!BC18/'FY21 FTE'!BC$120</f>
        <v>0</v>
      </c>
      <c r="BD18" s="28">
        <f>'FY21 Final Initial $$'!BD18/'FY21 FTE'!BD$120</f>
        <v>0</v>
      </c>
      <c r="BE18" s="28">
        <f>'FY21 Final Initial $$'!BE18/'FY21 FTE'!BE$120</f>
        <v>1.5</v>
      </c>
      <c r="BF18" s="28">
        <f>'FY21 Final Initial $$'!BF18/'FY21 FTE'!BF$120</f>
        <v>0</v>
      </c>
      <c r="BG18" s="28">
        <f>'FY21 Final Initial $$'!BG18/'FY21 FTE'!BG$120</f>
        <v>0</v>
      </c>
      <c r="BH18" s="28">
        <f>'FY21 Final Initial $$'!BH18/'FY21 FTE'!BH$120</f>
        <v>4</v>
      </c>
      <c r="BI18" s="28">
        <f>'FY21 Final Initial $$'!BI18/'FY21 FTE'!BI$120</f>
        <v>4</v>
      </c>
      <c r="BJ18" s="28">
        <f>'FY21 Final Initial $$'!BJ18/'FY21 FTE'!BJ$120</f>
        <v>1</v>
      </c>
      <c r="BK18" s="20">
        <v>0</v>
      </c>
      <c r="BL18" s="20"/>
      <c r="BM18" s="20"/>
      <c r="BN18" s="20">
        <v>121459.83</v>
      </c>
      <c r="BO18" s="20">
        <v>2009.42</v>
      </c>
      <c r="BP18" s="20">
        <v>0</v>
      </c>
      <c r="BQ18" s="28">
        <f>'FY21 Final Initial $$'!BQ18/'FY21 FTE'!BQ$120</f>
        <v>0</v>
      </c>
      <c r="BR18" s="28">
        <f>'FY21 Final Initial $$'!BR18/'FY21 FTE'!BR$120</f>
        <v>0</v>
      </c>
      <c r="BS18" s="28">
        <f>'FY21 Final Initial $$'!BS18/'FY21 FTE'!BS$120</f>
        <v>0</v>
      </c>
      <c r="BT18" s="28">
        <f>'FY21 Final Initial $$'!BT18/'FY21 FTE'!BT$120</f>
        <v>0</v>
      </c>
      <c r="BU18" s="28">
        <f>'FY21 Final Initial $$'!BU18/'FY21 FTE'!BU$120</f>
        <v>0</v>
      </c>
      <c r="BV18" s="28">
        <f>'FY21 Final Initial $$'!BV18/'FY21 FTE'!BV$120</f>
        <v>0</v>
      </c>
      <c r="BW18" s="28">
        <f>'FY21 Final Initial $$'!BW18/'FY21 FTE'!BW$120</f>
        <v>0</v>
      </c>
      <c r="BX18" s="20">
        <v>0</v>
      </c>
      <c r="BY18" s="20">
        <v>0</v>
      </c>
      <c r="BZ18" s="20">
        <v>0</v>
      </c>
      <c r="CA18" s="20">
        <v>0</v>
      </c>
      <c r="CB18" s="28">
        <f>'FY21 Final Initial $$'!CB18/'FY21 FTE'!CB$120</f>
        <v>0</v>
      </c>
      <c r="CC18" s="28">
        <f>'FY21 Final Initial $$'!CC18/'FY21 FTE'!CC$120</f>
        <v>0</v>
      </c>
      <c r="CD18" s="20">
        <v>0</v>
      </c>
      <c r="CE18" s="28">
        <f>'FY21 Final Initial $$'!CE18/'FY21 FTE'!CE$120</f>
        <v>0</v>
      </c>
      <c r="CF18" s="28">
        <f>'FY21 Final Initial $$'!CF18/'FY21 FTE'!CF$120</f>
        <v>0</v>
      </c>
      <c r="CG18" s="28">
        <f>'FY21 Final Initial $$'!CG18/'FY21 FTE'!CG$120</f>
        <v>0</v>
      </c>
      <c r="CH18" s="28">
        <f>'FY21 Final Initial $$'!CH18/'FY21 FTE'!CH$120</f>
        <v>0</v>
      </c>
      <c r="CI18" s="28">
        <f>'FY21 Final Initial $$'!CI18/'FY21 FTE'!CI$120</f>
        <v>0</v>
      </c>
      <c r="CJ18" s="28">
        <f>'FY21 Final Initial $$'!CJ18/'FY21 FTE'!CJ$120</f>
        <v>0</v>
      </c>
      <c r="CK18" s="28">
        <f>'FY21 Final Initial $$'!CK18/'FY21 FTE'!CK$120</f>
        <v>0</v>
      </c>
      <c r="CL18" s="28">
        <f>'FY21 Final Initial $$'!CL18/'FY21 FTE'!CL$120</f>
        <v>0</v>
      </c>
      <c r="CM18" s="20">
        <v>0</v>
      </c>
      <c r="CN18" s="20">
        <v>0</v>
      </c>
      <c r="CO18" s="20">
        <v>55921.759999999995</v>
      </c>
      <c r="CP18" s="20">
        <v>0</v>
      </c>
      <c r="CQ18" s="28">
        <f>'FY21 Final Initial $$'!CQ18/'FY21 FTE'!CQ$120</f>
        <v>0</v>
      </c>
      <c r="CR18" s="20">
        <v>0</v>
      </c>
      <c r="CS18" s="20">
        <v>2480</v>
      </c>
      <c r="CT18" s="20">
        <v>0</v>
      </c>
      <c r="CU18" s="20">
        <v>16264.332444444444</v>
      </c>
      <c r="CV18" s="28">
        <f>'FY21 Final Initial $$'!CV18/'FY21 FTE'!CV$120</f>
        <v>0</v>
      </c>
      <c r="CW18" s="28">
        <f>'FY21 Final Initial $$'!CW18/'FY21 FTE'!CW$120</f>
        <v>0</v>
      </c>
      <c r="CX18" s="20">
        <v>0</v>
      </c>
      <c r="CY18" s="28">
        <f>'FY21 Final Initial $$'!CY18/'FY21 FTE'!CY$120</f>
        <v>0</v>
      </c>
      <c r="CZ18" s="20">
        <v>0</v>
      </c>
      <c r="DA18" s="20">
        <v>0</v>
      </c>
      <c r="DB18" s="20">
        <v>28400</v>
      </c>
      <c r="DC18" s="20">
        <v>72449.440354175036</v>
      </c>
      <c r="DD18" s="20">
        <v>0</v>
      </c>
      <c r="DE18" s="20">
        <v>0</v>
      </c>
      <c r="DF18" s="20">
        <v>0</v>
      </c>
      <c r="DG18" s="20">
        <v>0</v>
      </c>
      <c r="DH18" s="28">
        <f>'FY21 Final Initial $$'!DH18/'FY21 FTE'!DH$120</f>
        <v>0</v>
      </c>
      <c r="DI18" s="20"/>
      <c r="DJ18" s="20">
        <v>8549.9998223036528</v>
      </c>
      <c r="DK18" s="22">
        <v>0</v>
      </c>
      <c r="DL18" s="20">
        <v>0</v>
      </c>
      <c r="DM18" s="20">
        <v>0</v>
      </c>
      <c r="DN18" s="20">
        <v>4904160.0220106766</v>
      </c>
      <c r="DO18" s="29">
        <f t="shared" si="1"/>
        <v>7</v>
      </c>
      <c r="DP18" s="29">
        <f t="shared" si="1"/>
        <v>8</v>
      </c>
      <c r="DQ18" s="29">
        <f t="shared" si="2"/>
        <v>10.000000000000004</v>
      </c>
      <c r="DR18" s="29">
        <f t="shared" si="3"/>
        <v>10.5</v>
      </c>
      <c r="DS18" s="29">
        <f t="shared" si="4"/>
        <v>6</v>
      </c>
    </row>
    <row r="19" spans="1:123" x14ac:dyDescent="0.25">
      <c r="A19" s="18">
        <v>221</v>
      </c>
      <c r="B19" t="s">
        <v>157</v>
      </c>
      <c r="C19" t="s">
        <v>135</v>
      </c>
      <c r="D19">
        <v>7</v>
      </c>
      <c r="E19">
        <v>313</v>
      </c>
      <c r="F19" s="19">
        <f t="shared" si="0"/>
        <v>0.6485623003194888</v>
      </c>
      <c r="G19">
        <v>203</v>
      </c>
      <c r="H19" s="28">
        <f>'FY21 Final Initial $$'!H19/'FY21 FTE'!H$120</f>
        <v>1</v>
      </c>
      <c r="I19" s="28">
        <f>'FY21 Final Initial $$'!I19/'FY21 FTE'!I$120</f>
        <v>1</v>
      </c>
      <c r="J19" s="28">
        <f>'FY21 Final Initial $$'!J19/'FY21 FTE'!J$120</f>
        <v>0.8</v>
      </c>
      <c r="K19" s="28">
        <f>'FY21 Final Initial $$'!K19/'FY21 FTE'!K$120</f>
        <v>0</v>
      </c>
      <c r="L19" s="28">
        <f>'FY21 Final Initial $$'!L19/'FY21 FTE'!L$120</f>
        <v>0</v>
      </c>
      <c r="M19" s="28">
        <f>'FY21 Final Initial $$'!M19/'FY21 FTE'!M$120</f>
        <v>1</v>
      </c>
      <c r="N19" s="28">
        <f>'FY21 Final Initial $$'!N19/'FY21 FTE'!N$120</f>
        <v>1</v>
      </c>
      <c r="O19" s="28">
        <f>'FY21 Final Initial $$'!O19/'FY21 FTE'!O$120</f>
        <v>0</v>
      </c>
      <c r="P19" s="28">
        <f>'FY21 Final Initial $$'!P19/'FY21 FTE'!P$120</f>
        <v>0</v>
      </c>
      <c r="Q19" s="28">
        <f>'FY21 Final Initial $$'!Q19/'FY21 FTE'!Q$120</f>
        <v>0</v>
      </c>
      <c r="R19" s="28">
        <f>'FY21 Final Initial $$'!R19/'FY21 FTE'!R$120</f>
        <v>0</v>
      </c>
      <c r="S19" s="28">
        <f>'FY21 Final Initial $$'!S19/'FY21 FTE'!S$120</f>
        <v>1</v>
      </c>
      <c r="T19" s="28">
        <f>'FY21 Final Initial $$'!T19/'FY21 FTE'!T$120</f>
        <v>1</v>
      </c>
      <c r="U19" s="28">
        <f>'FY21 Final Initial $$'!U19/'FY21 FTE'!U$120</f>
        <v>2</v>
      </c>
      <c r="V19" s="28">
        <f>'FY21 Final Initial $$'!V19/'FY21 FTE'!V$120</f>
        <v>1</v>
      </c>
      <c r="W19" s="28">
        <f>'FY21 Final Initial $$'!W19/'FY21 FTE'!W$120</f>
        <v>1</v>
      </c>
      <c r="X19" s="28">
        <f>'FY21 Final Initial $$'!X19/'FY21 FTE'!X$120</f>
        <v>1</v>
      </c>
      <c r="Y19" s="28">
        <f>'FY21 Final Initial $$'!Y19/'FY21 FTE'!Y$120</f>
        <v>1</v>
      </c>
      <c r="Z19" s="28">
        <f>'FY21 Final Initial $$'!Z19/'FY21 FTE'!Z$120</f>
        <v>0</v>
      </c>
      <c r="AA19" s="28">
        <f>'FY21 Final Initial $$'!AA19/'FY21 FTE'!AA$120</f>
        <v>0</v>
      </c>
      <c r="AB19" s="28">
        <f>'FY21 Final Initial $$'!AB19/'FY21 FTE'!AB$120</f>
        <v>2</v>
      </c>
      <c r="AC19" s="28">
        <f>'FY21 Final Initial $$'!AC19/'FY21 FTE'!AC$120</f>
        <v>2</v>
      </c>
      <c r="AD19" s="28">
        <f>'FY21 Final Initial $$'!AD19/'FY21 FTE'!AD$120</f>
        <v>1</v>
      </c>
      <c r="AE19" s="28">
        <f>'FY21 Final Initial $$'!AE19/'FY21 FTE'!AE$120</f>
        <v>1</v>
      </c>
      <c r="AF19" s="28">
        <f>'FY21 Final Initial $$'!AF19/'FY21 FTE'!AF$120</f>
        <v>3</v>
      </c>
      <c r="AG19" s="28">
        <f>'FY21 Final Initial $$'!AG19/'FY21 FTE'!AG$120</f>
        <v>3</v>
      </c>
      <c r="AH19" s="28">
        <f>'FY21 Final Initial $$'!AH19/'FY21 FTE'!AH$120</f>
        <v>2</v>
      </c>
      <c r="AI19" s="28">
        <f>'FY21 Final Initial $$'!AI19/'FY21 FTE'!AI$120</f>
        <v>2</v>
      </c>
      <c r="AJ19" s="28">
        <f>'FY21 Final Initial $$'!AJ19/'FY21 FTE'!AJ$120</f>
        <v>2</v>
      </c>
      <c r="AK19" s="28">
        <f>'FY21 Final Initial $$'!AK19/'FY21 FTE'!AK$120</f>
        <v>2</v>
      </c>
      <c r="AL19" s="28">
        <f>'FY21 Final Initial $$'!AL19/'FY21 FTE'!AL$120</f>
        <v>2</v>
      </c>
      <c r="AM19" s="28">
        <f>'FY21 Final Initial $$'!AM19/'FY21 FTE'!AM$120</f>
        <v>2</v>
      </c>
      <c r="AN19" s="28">
        <f>'FY21 Final Initial $$'!AN19/'FY21 FTE'!AN$120</f>
        <v>1.0000000000000013</v>
      </c>
      <c r="AO19" s="28">
        <f>'FY21 Final Initial $$'!AO19/'FY21 FTE'!AO$120</f>
        <v>0</v>
      </c>
      <c r="AP19" s="28">
        <f>'FY21 Final Initial $$'!AP19/'FY21 FTE'!AP$120</f>
        <v>0</v>
      </c>
      <c r="AQ19" s="28">
        <f>'FY21 Final Initial $$'!AQ19/'FY21 FTE'!AQ$120</f>
        <v>0</v>
      </c>
      <c r="AR19" s="28">
        <f>'FY21 Final Initial $$'!AR19/'FY21 FTE'!AR$120</f>
        <v>0</v>
      </c>
      <c r="AS19" s="28">
        <f>'FY21 Final Initial $$'!AS19/'FY21 FTE'!AS$120</f>
        <v>0</v>
      </c>
      <c r="AT19" s="28">
        <f>'FY21 Final Initial $$'!AT19/'FY21 FTE'!AT$120</f>
        <v>0</v>
      </c>
      <c r="AU19" s="28">
        <f>'FY21 Final Initial $$'!AU19/'FY21 FTE'!AU$120</f>
        <v>0</v>
      </c>
      <c r="AV19" s="28">
        <f>'FY21 Final Initial $$'!AV19/'FY21 FTE'!AV$120</f>
        <v>0</v>
      </c>
      <c r="AW19" s="28">
        <f>'FY21 Final Initial $$'!AW19/'FY21 FTE'!AW$120</f>
        <v>0</v>
      </c>
      <c r="AX19" s="28">
        <f>'FY21 Final Initial $$'!AX19/'FY21 FTE'!AX$120</f>
        <v>0</v>
      </c>
      <c r="AY19" s="28">
        <f>'FY21 Final Initial $$'!AY19/'FY21 FTE'!AY$120</f>
        <v>1</v>
      </c>
      <c r="AZ19" s="28">
        <f>'FY21 Final Initial $$'!AZ19/'FY21 FTE'!AZ$120</f>
        <v>1</v>
      </c>
      <c r="BA19" s="28">
        <f>'FY21 Final Initial $$'!BA19/'FY21 FTE'!BA$120</f>
        <v>3</v>
      </c>
      <c r="BB19" s="28">
        <f>'FY21 Final Initial $$'!BB19/'FY21 FTE'!BB$120</f>
        <v>0</v>
      </c>
      <c r="BC19" s="28">
        <f>'FY21 Final Initial $$'!BC19/'FY21 FTE'!BC$120</f>
        <v>0</v>
      </c>
      <c r="BD19" s="28">
        <f>'FY21 Final Initial $$'!BD19/'FY21 FTE'!BD$120</f>
        <v>0</v>
      </c>
      <c r="BE19" s="28">
        <f>'FY21 Final Initial $$'!BE19/'FY21 FTE'!BE$120</f>
        <v>9.0909090909090912E-2</v>
      </c>
      <c r="BF19" s="28">
        <f>'FY21 Final Initial $$'!BF19/'FY21 FTE'!BF$120</f>
        <v>0</v>
      </c>
      <c r="BG19" s="28">
        <f>'FY21 Final Initial $$'!BG19/'FY21 FTE'!BG$120</f>
        <v>0</v>
      </c>
      <c r="BH19" s="28">
        <f>'FY21 Final Initial $$'!BH19/'FY21 FTE'!BH$120</f>
        <v>3</v>
      </c>
      <c r="BI19" s="28">
        <f>'FY21 Final Initial $$'!BI19/'FY21 FTE'!BI$120</f>
        <v>3</v>
      </c>
      <c r="BJ19" s="28">
        <f>'FY21 Final Initial $$'!BJ19/'FY21 FTE'!BJ$120</f>
        <v>1</v>
      </c>
      <c r="BK19" s="20">
        <v>0</v>
      </c>
      <c r="BL19" s="20"/>
      <c r="BM19" s="20"/>
      <c r="BN19" s="20">
        <v>132540.38</v>
      </c>
      <c r="BO19" s="20">
        <v>2192.73</v>
      </c>
      <c r="BP19" s="20">
        <v>0</v>
      </c>
      <c r="BQ19" s="28">
        <f>'FY21 Final Initial $$'!BQ19/'FY21 FTE'!BQ$120</f>
        <v>0</v>
      </c>
      <c r="BR19" s="28">
        <f>'FY21 Final Initial $$'!BR19/'FY21 FTE'!BR$120</f>
        <v>0</v>
      </c>
      <c r="BS19" s="28">
        <f>'FY21 Final Initial $$'!BS19/'FY21 FTE'!BS$120</f>
        <v>0</v>
      </c>
      <c r="BT19" s="28">
        <f>'FY21 Final Initial $$'!BT19/'FY21 FTE'!BT$120</f>
        <v>0</v>
      </c>
      <c r="BU19" s="28">
        <f>'FY21 Final Initial $$'!BU19/'FY21 FTE'!BU$120</f>
        <v>0</v>
      </c>
      <c r="BV19" s="28">
        <f>'FY21 Final Initial $$'!BV19/'FY21 FTE'!BV$120</f>
        <v>0</v>
      </c>
      <c r="BW19" s="28">
        <f>'FY21 Final Initial $$'!BW19/'FY21 FTE'!BW$120</f>
        <v>0</v>
      </c>
      <c r="BX19" s="20">
        <v>0</v>
      </c>
      <c r="BY19" s="20">
        <v>0</v>
      </c>
      <c r="BZ19" s="20">
        <v>0</v>
      </c>
      <c r="CA19" s="20">
        <v>0</v>
      </c>
      <c r="CB19" s="28">
        <f>'FY21 Final Initial $$'!CB19/'FY21 FTE'!CB$120</f>
        <v>0</v>
      </c>
      <c r="CC19" s="28">
        <f>'FY21 Final Initial $$'!CC19/'FY21 FTE'!CC$120</f>
        <v>0</v>
      </c>
      <c r="CD19" s="20">
        <v>0</v>
      </c>
      <c r="CE19" s="28">
        <f>'FY21 Final Initial $$'!CE19/'FY21 FTE'!CE$120</f>
        <v>0</v>
      </c>
      <c r="CF19" s="28">
        <f>'FY21 Final Initial $$'!CF19/'FY21 FTE'!CF$120</f>
        <v>0</v>
      </c>
      <c r="CG19" s="28">
        <f>'FY21 Final Initial $$'!CG19/'FY21 FTE'!CG$120</f>
        <v>0</v>
      </c>
      <c r="CH19" s="28">
        <f>'FY21 Final Initial $$'!CH19/'FY21 FTE'!CH$120</f>
        <v>0</v>
      </c>
      <c r="CI19" s="28">
        <f>'FY21 Final Initial $$'!CI19/'FY21 FTE'!CI$120</f>
        <v>0</v>
      </c>
      <c r="CJ19" s="28">
        <f>'FY21 Final Initial $$'!CJ19/'FY21 FTE'!CJ$120</f>
        <v>0</v>
      </c>
      <c r="CK19" s="28">
        <f>'FY21 Final Initial $$'!CK19/'FY21 FTE'!CK$120</f>
        <v>0</v>
      </c>
      <c r="CL19" s="28">
        <f>'FY21 Final Initial $$'!CL19/'FY21 FTE'!CL$120</f>
        <v>0</v>
      </c>
      <c r="CM19" s="20">
        <v>0</v>
      </c>
      <c r="CN19" s="20">
        <v>0</v>
      </c>
      <c r="CO19" s="20">
        <v>111843.51999999999</v>
      </c>
      <c r="CP19" s="20">
        <v>0</v>
      </c>
      <c r="CQ19" s="28">
        <f>'FY21 Final Initial $$'!CQ19/'FY21 FTE'!CQ$120</f>
        <v>0</v>
      </c>
      <c r="CR19" s="20">
        <v>0</v>
      </c>
      <c r="CS19" s="20">
        <v>4060</v>
      </c>
      <c r="CT19" s="20">
        <v>0</v>
      </c>
      <c r="CU19" s="20">
        <v>18935.997749999999</v>
      </c>
      <c r="CV19" s="28">
        <f>'FY21 Final Initial $$'!CV19/'FY21 FTE'!CV$120</f>
        <v>0</v>
      </c>
      <c r="CW19" s="28">
        <f>'FY21 Final Initial $$'!CW19/'FY21 FTE'!CW$120</f>
        <v>0</v>
      </c>
      <c r="CX19" s="20">
        <v>0</v>
      </c>
      <c r="CY19" s="28">
        <f>'FY21 Final Initial $$'!CY19/'FY21 FTE'!CY$120</f>
        <v>0</v>
      </c>
      <c r="CZ19" s="20">
        <v>0</v>
      </c>
      <c r="DA19" s="20">
        <v>0</v>
      </c>
      <c r="DB19" s="20">
        <v>31300</v>
      </c>
      <c r="DC19" s="20">
        <v>63947.970132800416</v>
      </c>
      <c r="DD19" s="20">
        <v>0</v>
      </c>
      <c r="DE19" s="20">
        <v>0</v>
      </c>
      <c r="DF19" s="20">
        <v>13859</v>
      </c>
      <c r="DG19" s="20">
        <v>0</v>
      </c>
      <c r="DH19" s="28">
        <f>'FY21 Final Initial $$'!DH19/'FY21 FTE'!DH$120</f>
        <v>0</v>
      </c>
      <c r="DI19" s="20"/>
      <c r="DJ19" s="20">
        <v>7425</v>
      </c>
      <c r="DK19" s="22">
        <v>0</v>
      </c>
      <c r="DL19" s="20">
        <v>0</v>
      </c>
      <c r="DM19" s="20">
        <v>0</v>
      </c>
      <c r="DN19" s="20">
        <v>4426048.2086157463</v>
      </c>
      <c r="DO19" s="29">
        <f t="shared" si="1"/>
        <v>8</v>
      </c>
      <c r="DP19" s="29">
        <f t="shared" si="1"/>
        <v>8</v>
      </c>
      <c r="DQ19" s="29">
        <f t="shared" si="2"/>
        <v>9.0000000000000018</v>
      </c>
      <c r="DR19" s="29">
        <f t="shared" si="3"/>
        <v>5.0909090909090908</v>
      </c>
      <c r="DS19" s="29">
        <f t="shared" si="4"/>
        <v>0</v>
      </c>
    </row>
    <row r="20" spans="1:123" x14ac:dyDescent="0.25">
      <c r="A20" s="18">
        <v>247</v>
      </c>
      <c r="B20" t="s">
        <v>158</v>
      </c>
      <c r="C20" t="s">
        <v>135</v>
      </c>
      <c r="D20">
        <v>7</v>
      </c>
      <c r="E20">
        <v>267</v>
      </c>
      <c r="F20" s="19">
        <f t="shared" si="0"/>
        <v>0.67041198501872656</v>
      </c>
      <c r="G20">
        <v>179</v>
      </c>
      <c r="H20" s="28">
        <f>'FY21 Final Initial $$'!H20/'FY21 FTE'!H$120</f>
        <v>1</v>
      </c>
      <c r="I20" s="28">
        <f>'FY21 Final Initial $$'!I20/'FY21 FTE'!I$120</f>
        <v>1</v>
      </c>
      <c r="J20" s="28">
        <f>'FY21 Final Initial $$'!J20/'FY21 FTE'!J$120</f>
        <v>0</v>
      </c>
      <c r="K20" s="28">
        <f>'FY21 Final Initial $$'!K20/'FY21 FTE'!K$120</f>
        <v>0</v>
      </c>
      <c r="L20" s="28">
        <f>'FY21 Final Initial $$'!L20/'FY21 FTE'!L$120</f>
        <v>0</v>
      </c>
      <c r="M20" s="28">
        <f>'FY21 Final Initial $$'!M20/'FY21 FTE'!M$120</f>
        <v>0.5</v>
      </c>
      <c r="N20" s="28">
        <f>'FY21 Final Initial $$'!N20/'FY21 FTE'!N$120</f>
        <v>1</v>
      </c>
      <c r="O20" s="28">
        <f>'FY21 Final Initial $$'!O20/'FY21 FTE'!O$120</f>
        <v>0</v>
      </c>
      <c r="P20" s="28">
        <f>'FY21 Final Initial $$'!P20/'FY21 FTE'!P$120</f>
        <v>0</v>
      </c>
      <c r="Q20" s="28">
        <f>'FY21 Final Initial $$'!Q20/'FY21 FTE'!Q$120</f>
        <v>0</v>
      </c>
      <c r="R20" s="28">
        <f>'FY21 Final Initial $$'!R20/'FY21 FTE'!R$120</f>
        <v>0</v>
      </c>
      <c r="S20" s="28">
        <f>'FY21 Final Initial $$'!S20/'FY21 FTE'!S$120</f>
        <v>1</v>
      </c>
      <c r="T20" s="28">
        <f>'FY21 Final Initial $$'!T20/'FY21 FTE'!T$120</f>
        <v>1</v>
      </c>
      <c r="U20" s="28">
        <f>'FY21 Final Initial $$'!U20/'FY21 FTE'!U$120</f>
        <v>1</v>
      </c>
      <c r="V20" s="28">
        <f>'FY21 Final Initial $$'!V20/'FY21 FTE'!V$120</f>
        <v>0.5</v>
      </c>
      <c r="W20" s="28">
        <f>'FY21 Final Initial $$'!W20/'FY21 FTE'!W$120</f>
        <v>1</v>
      </c>
      <c r="X20" s="28">
        <f>'FY21 Final Initial $$'!X20/'FY21 FTE'!X$120</f>
        <v>1</v>
      </c>
      <c r="Y20" s="28">
        <f>'FY21 Final Initial $$'!Y20/'FY21 FTE'!Y$120</f>
        <v>1</v>
      </c>
      <c r="Z20" s="28">
        <f>'FY21 Final Initial $$'!Z20/'FY21 FTE'!Z$120</f>
        <v>0</v>
      </c>
      <c r="AA20" s="28">
        <f>'FY21 Final Initial $$'!AA20/'FY21 FTE'!AA$120</f>
        <v>0</v>
      </c>
      <c r="AB20" s="28">
        <f>'FY21 Final Initial $$'!AB20/'FY21 FTE'!AB$120</f>
        <v>1</v>
      </c>
      <c r="AC20" s="28">
        <f>'FY21 Final Initial $$'!AC20/'FY21 FTE'!AC$120</f>
        <v>1</v>
      </c>
      <c r="AD20" s="28">
        <f>'FY21 Final Initial $$'!AD20/'FY21 FTE'!AD$120</f>
        <v>0</v>
      </c>
      <c r="AE20" s="28">
        <f>'FY21 Final Initial $$'!AE20/'FY21 FTE'!AE$120</f>
        <v>0</v>
      </c>
      <c r="AF20" s="28">
        <f>'FY21 Final Initial $$'!AF20/'FY21 FTE'!AF$120</f>
        <v>2</v>
      </c>
      <c r="AG20" s="28">
        <f>'FY21 Final Initial $$'!AG20/'FY21 FTE'!AG$120</f>
        <v>2</v>
      </c>
      <c r="AH20" s="28">
        <f>'FY21 Final Initial $$'!AH20/'FY21 FTE'!AH$120</f>
        <v>2</v>
      </c>
      <c r="AI20" s="28">
        <f>'FY21 Final Initial $$'!AI20/'FY21 FTE'!AI$120</f>
        <v>2</v>
      </c>
      <c r="AJ20" s="28">
        <f>'FY21 Final Initial $$'!AJ20/'FY21 FTE'!AJ$120</f>
        <v>2</v>
      </c>
      <c r="AK20" s="28">
        <f>'FY21 Final Initial $$'!AK20/'FY21 FTE'!AK$120</f>
        <v>2</v>
      </c>
      <c r="AL20" s="28">
        <f>'FY21 Final Initial $$'!AL20/'FY21 FTE'!AL$120</f>
        <v>2</v>
      </c>
      <c r="AM20" s="28">
        <f>'FY21 Final Initial $$'!AM20/'FY21 FTE'!AM$120</f>
        <v>2</v>
      </c>
      <c r="AN20" s="28">
        <f>'FY21 Final Initial $$'!AN20/'FY21 FTE'!AN$120</f>
        <v>2.0000000000000027</v>
      </c>
      <c r="AO20" s="28">
        <f>'FY21 Final Initial $$'!AO20/'FY21 FTE'!AO$120</f>
        <v>0</v>
      </c>
      <c r="AP20" s="28">
        <f>'FY21 Final Initial $$'!AP20/'FY21 FTE'!AP$120</f>
        <v>0</v>
      </c>
      <c r="AQ20" s="28">
        <f>'FY21 Final Initial $$'!AQ20/'FY21 FTE'!AQ$120</f>
        <v>0</v>
      </c>
      <c r="AR20" s="28">
        <f>'FY21 Final Initial $$'!AR20/'FY21 FTE'!AR$120</f>
        <v>0</v>
      </c>
      <c r="AS20" s="28">
        <f>'FY21 Final Initial $$'!AS20/'FY21 FTE'!AS$120</f>
        <v>0</v>
      </c>
      <c r="AT20" s="28">
        <f>'FY21 Final Initial $$'!AT20/'FY21 FTE'!AT$120</f>
        <v>0</v>
      </c>
      <c r="AU20" s="28">
        <f>'FY21 Final Initial $$'!AU20/'FY21 FTE'!AU$120</f>
        <v>0</v>
      </c>
      <c r="AV20" s="28">
        <f>'FY21 Final Initial $$'!AV20/'FY21 FTE'!AV$120</f>
        <v>0</v>
      </c>
      <c r="AW20" s="28">
        <f>'FY21 Final Initial $$'!AW20/'FY21 FTE'!AW$120</f>
        <v>0</v>
      </c>
      <c r="AX20" s="28">
        <f>'FY21 Final Initial $$'!AX20/'FY21 FTE'!AX$120</f>
        <v>0</v>
      </c>
      <c r="AY20" s="28">
        <f>'FY21 Final Initial $$'!AY20/'FY21 FTE'!AY$120</f>
        <v>1</v>
      </c>
      <c r="AZ20" s="28">
        <f>'FY21 Final Initial $$'!AZ20/'FY21 FTE'!AZ$120</f>
        <v>2</v>
      </c>
      <c r="BA20" s="28">
        <f>'FY21 Final Initial $$'!BA20/'FY21 FTE'!BA$120</f>
        <v>7</v>
      </c>
      <c r="BB20" s="28">
        <f>'FY21 Final Initial $$'!BB20/'FY21 FTE'!BB$120</f>
        <v>4</v>
      </c>
      <c r="BC20" s="28">
        <f>'FY21 Final Initial $$'!BC20/'FY21 FTE'!BC$120</f>
        <v>0</v>
      </c>
      <c r="BD20" s="28">
        <f>'FY21 Final Initial $$'!BD20/'FY21 FTE'!BD$120</f>
        <v>0</v>
      </c>
      <c r="BE20" s="28">
        <f>'FY21 Final Initial $$'!BE20/'FY21 FTE'!BE$120</f>
        <v>9.0909090909090912E-2</v>
      </c>
      <c r="BF20" s="28">
        <f>'FY21 Final Initial $$'!BF20/'FY21 FTE'!BF$120</f>
        <v>0</v>
      </c>
      <c r="BG20" s="28">
        <f>'FY21 Final Initial $$'!BG20/'FY21 FTE'!BG$120</f>
        <v>0</v>
      </c>
      <c r="BH20" s="28">
        <f>'FY21 Final Initial $$'!BH20/'FY21 FTE'!BH$120</f>
        <v>0</v>
      </c>
      <c r="BI20" s="28">
        <f>'FY21 Final Initial $$'!BI20/'FY21 FTE'!BI$120</f>
        <v>0</v>
      </c>
      <c r="BJ20" s="28">
        <f>'FY21 Final Initial $$'!BJ20/'FY21 FTE'!BJ$120</f>
        <v>0</v>
      </c>
      <c r="BK20" s="20">
        <v>0</v>
      </c>
      <c r="BL20" s="20"/>
      <c r="BM20" s="20"/>
      <c r="BN20" s="20">
        <v>100151.09</v>
      </c>
      <c r="BO20" s="20">
        <v>1656.89</v>
      </c>
      <c r="BP20" s="20">
        <v>0</v>
      </c>
      <c r="BQ20" s="28">
        <f>'FY21 Final Initial $$'!BQ20/'FY21 FTE'!BQ$120</f>
        <v>0</v>
      </c>
      <c r="BR20" s="28">
        <f>'FY21 Final Initial $$'!BR20/'FY21 FTE'!BR$120</f>
        <v>0</v>
      </c>
      <c r="BS20" s="28">
        <f>'FY21 Final Initial $$'!BS20/'FY21 FTE'!BS$120</f>
        <v>0</v>
      </c>
      <c r="BT20" s="28">
        <f>'FY21 Final Initial $$'!BT20/'FY21 FTE'!BT$120</f>
        <v>0</v>
      </c>
      <c r="BU20" s="28">
        <f>'FY21 Final Initial $$'!BU20/'FY21 FTE'!BU$120</f>
        <v>1</v>
      </c>
      <c r="BV20" s="28">
        <f>'FY21 Final Initial $$'!BV20/'FY21 FTE'!BV$120</f>
        <v>0</v>
      </c>
      <c r="BW20" s="28">
        <f>'FY21 Final Initial $$'!BW20/'FY21 FTE'!BW$120</f>
        <v>0</v>
      </c>
      <c r="BX20" s="20">
        <v>0</v>
      </c>
      <c r="BY20" s="20">
        <v>0</v>
      </c>
      <c r="BZ20" s="20">
        <v>0</v>
      </c>
      <c r="CA20" s="20">
        <v>0</v>
      </c>
      <c r="CB20" s="28">
        <f>'FY21 Final Initial $$'!CB20/'FY21 FTE'!CB$120</f>
        <v>0</v>
      </c>
      <c r="CC20" s="28">
        <f>'FY21 Final Initial $$'!CC20/'FY21 FTE'!CC$120</f>
        <v>0</v>
      </c>
      <c r="CD20" s="20">
        <v>0</v>
      </c>
      <c r="CE20" s="28">
        <f>'FY21 Final Initial $$'!CE20/'FY21 FTE'!CE$120</f>
        <v>0</v>
      </c>
      <c r="CF20" s="28">
        <f>'FY21 Final Initial $$'!CF20/'FY21 FTE'!CF$120</f>
        <v>0</v>
      </c>
      <c r="CG20" s="28">
        <f>'FY21 Final Initial $$'!CG20/'FY21 FTE'!CG$120</f>
        <v>0</v>
      </c>
      <c r="CH20" s="28">
        <f>'FY21 Final Initial $$'!CH20/'FY21 FTE'!CH$120</f>
        <v>0</v>
      </c>
      <c r="CI20" s="28">
        <f>'FY21 Final Initial $$'!CI20/'FY21 FTE'!CI$120</f>
        <v>0</v>
      </c>
      <c r="CJ20" s="28">
        <f>'FY21 Final Initial $$'!CJ20/'FY21 FTE'!CJ$120</f>
        <v>0</v>
      </c>
      <c r="CK20" s="28">
        <f>'FY21 Final Initial $$'!CK20/'FY21 FTE'!CK$120</f>
        <v>0</v>
      </c>
      <c r="CL20" s="28">
        <f>'FY21 Final Initial $$'!CL20/'FY21 FTE'!CL$120</f>
        <v>0</v>
      </c>
      <c r="CM20" s="20">
        <v>0</v>
      </c>
      <c r="CN20" s="20">
        <v>0</v>
      </c>
      <c r="CO20" s="20">
        <v>111843.51999999999</v>
      </c>
      <c r="CP20" s="20">
        <v>0</v>
      </c>
      <c r="CQ20" s="28">
        <f>'FY21 Final Initial $$'!CQ20/'FY21 FTE'!CQ$120</f>
        <v>0</v>
      </c>
      <c r="CR20" s="20">
        <v>0</v>
      </c>
      <c r="CS20" s="20">
        <v>3580</v>
      </c>
      <c r="CT20" s="20">
        <v>0</v>
      </c>
      <c r="CU20" s="20">
        <v>15742.715486725663</v>
      </c>
      <c r="CV20" s="28">
        <f>'FY21 Final Initial $$'!CV20/'FY21 FTE'!CV$120</f>
        <v>0</v>
      </c>
      <c r="CW20" s="28">
        <f>'FY21 Final Initial $$'!CW20/'FY21 FTE'!CW$120</f>
        <v>0</v>
      </c>
      <c r="CX20" s="20">
        <v>0</v>
      </c>
      <c r="CY20" s="28">
        <f>'FY21 Final Initial $$'!CY20/'FY21 FTE'!CY$120</f>
        <v>0</v>
      </c>
      <c r="CZ20" s="20">
        <v>0</v>
      </c>
      <c r="DA20" s="20">
        <v>0</v>
      </c>
      <c r="DB20" s="20">
        <v>26700</v>
      </c>
      <c r="DC20" s="20">
        <v>65458.773010727957</v>
      </c>
      <c r="DD20" s="20">
        <v>0</v>
      </c>
      <c r="DE20" s="20">
        <v>0</v>
      </c>
      <c r="DF20" s="20">
        <v>13859</v>
      </c>
      <c r="DG20" s="20">
        <v>0</v>
      </c>
      <c r="DH20" s="28">
        <f>'FY21 Final Initial $$'!DH20/'FY21 FTE'!DH$120</f>
        <v>0</v>
      </c>
      <c r="DI20" s="20"/>
      <c r="DJ20" s="20">
        <v>21450.000130757689</v>
      </c>
      <c r="DK20" s="22">
        <v>0</v>
      </c>
      <c r="DL20" s="20">
        <v>0</v>
      </c>
      <c r="DM20" s="20">
        <v>0</v>
      </c>
      <c r="DN20" s="20">
        <v>4537095.5581200002</v>
      </c>
      <c r="DO20" s="29">
        <f t="shared" si="1"/>
        <v>5</v>
      </c>
      <c r="DP20" s="29">
        <f t="shared" si="1"/>
        <v>5</v>
      </c>
      <c r="DQ20" s="29">
        <f t="shared" si="2"/>
        <v>10.000000000000004</v>
      </c>
      <c r="DR20" s="29">
        <f t="shared" si="3"/>
        <v>10.090909090909092</v>
      </c>
      <c r="DS20" s="29">
        <f t="shared" si="4"/>
        <v>4</v>
      </c>
    </row>
    <row r="21" spans="1:123" x14ac:dyDescent="0.25">
      <c r="A21" s="18">
        <v>360</v>
      </c>
      <c r="B21" t="s">
        <v>159</v>
      </c>
      <c r="C21" t="s">
        <v>150</v>
      </c>
      <c r="D21">
        <v>6</v>
      </c>
      <c r="E21">
        <v>339</v>
      </c>
      <c r="F21" s="19">
        <f t="shared" si="0"/>
        <v>0.18584070796460178</v>
      </c>
      <c r="G21">
        <v>63</v>
      </c>
      <c r="H21" s="28">
        <f>'FY21 Final Initial $$'!H21/'FY21 FTE'!H$120</f>
        <v>1</v>
      </c>
      <c r="I21" s="28">
        <f>'FY21 Final Initial $$'!I21/'FY21 FTE'!I$120</f>
        <v>1</v>
      </c>
      <c r="J21" s="28">
        <f>'FY21 Final Initial $$'!J21/'FY21 FTE'!J$120</f>
        <v>0.3</v>
      </c>
      <c r="K21" s="28">
        <f>'FY21 Final Initial $$'!K21/'FY21 FTE'!K$120</f>
        <v>1</v>
      </c>
      <c r="L21" s="28">
        <f>'FY21 Final Initial $$'!L21/'FY21 FTE'!L$120</f>
        <v>0</v>
      </c>
      <c r="M21" s="28">
        <f>'FY21 Final Initial $$'!M21/'FY21 FTE'!M$120</f>
        <v>1</v>
      </c>
      <c r="N21" s="28">
        <f>'FY21 Final Initial $$'!N21/'FY21 FTE'!N$120</f>
        <v>1</v>
      </c>
      <c r="O21" s="28">
        <f>'FY21 Final Initial $$'!O21/'FY21 FTE'!O$120</f>
        <v>0</v>
      </c>
      <c r="P21" s="28">
        <f>'FY21 Final Initial $$'!P21/'FY21 FTE'!P$120</f>
        <v>0</v>
      </c>
      <c r="Q21" s="28">
        <f>'FY21 Final Initial $$'!Q21/'FY21 FTE'!Q$120</f>
        <v>0</v>
      </c>
      <c r="R21" s="28">
        <f>'FY21 Final Initial $$'!R21/'FY21 FTE'!R$120</f>
        <v>0</v>
      </c>
      <c r="S21" s="28">
        <f>'FY21 Final Initial $$'!S21/'FY21 FTE'!S$120</f>
        <v>1</v>
      </c>
      <c r="T21" s="28">
        <f>'FY21 Final Initial $$'!T21/'FY21 FTE'!T$120</f>
        <v>1</v>
      </c>
      <c r="U21" s="28">
        <f>'FY21 Final Initial $$'!U21/'FY21 FTE'!U$120</f>
        <v>2</v>
      </c>
      <c r="V21" s="28">
        <f>'FY21 Final Initial $$'!V21/'FY21 FTE'!V$120</f>
        <v>1</v>
      </c>
      <c r="W21" s="28">
        <f>'FY21 Final Initial $$'!W21/'FY21 FTE'!W$120</f>
        <v>1</v>
      </c>
      <c r="X21" s="28">
        <f>'FY21 Final Initial $$'!X21/'FY21 FTE'!X$120</f>
        <v>1</v>
      </c>
      <c r="Y21" s="28">
        <f>'FY21 Final Initial $$'!Y21/'FY21 FTE'!Y$120</f>
        <v>1</v>
      </c>
      <c r="Z21" s="28">
        <f>'FY21 Final Initial $$'!Z21/'FY21 FTE'!Z$120</f>
        <v>0</v>
      </c>
      <c r="AA21" s="28">
        <f>'FY21 Final Initial $$'!AA21/'FY21 FTE'!AA$120</f>
        <v>0</v>
      </c>
      <c r="AB21" s="28">
        <f>'FY21 Final Initial $$'!AB21/'FY21 FTE'!AB$120</f>
        <v>0</v>
      </c>
      <c r="AC21" s="28">
        <f>'FY21 Final Initial $$'!AC21/'FY21 FTE'!AC$120</f>
        <v>0</v>
      </c>
      <c r="AD21" s="28">
        <f>'FY21 Final Initial $$'!AD21/'FY21 FTE'!AD$120</f>
        <v>8</v>
      </c>
      <c r="AE21" s="28">
        <f>'FY21 Final Initial $$'!AE21/'FY21 FTE'!AE$120</f>
        <v>8</v>
      </c>
      <c r="AF21" s="28">
        <f>'FY21 Final Initial $$'!AF21/'FY21 FTE'!AF$120</f>
        <v>0</v>
      </c>
      <c r="AG21" s="28">
        <f>'FY21 Final Initial $$'!AG21/'FY21 FTE'!AG$120</f>
        <v>0</v>
      </c>
      <c r="AH21" s="28">
        <f>'FY21 Final Initial $$'!AH21/'FY21 FTE'!AH$120</f>
        <v>2</v>
      </c>
      <c r="AI21" s="28">
        <f>'FY21 Final Initial $$'!AI21/'FY21 FTE'!AI$120</f>
        <v>2</v>
      </c>
      <c r="AJ21" s="28">
        <f>'FY21 Final Initial $$'!AJ21/'FY21 FTE'!AJ$120</f>
        <v>2</v>
      </c>
      <c r="AK21" s="28">
        <f>'FY21 Final Initial $$'!AK21/'FY21 FTE'!AK$120</f>
        <v>1</v>
      </c>
      <c r="AL21" s="28">
        <f>'FY21 Final Initial $$'!AL21/'FY21 FTE'!AL$120</f>
        <v>1</v>
      </c>
      <c r="AM21" s="28">
        <f>'FY21 Final Initial $$'!AM21/'FY21 FTE'!AM$120</f>
        <v>1</v>
      </c>
      <c r="AN21" s="28">
        <f>'FY21 Final Initial $$'!AN21/'FY21 FTE'!AN$120</f>
        <v>1.0000000000000013</v>
      </c>
      <c r="AO21" s="28">
        <f>'FY21 Final Initial $$'!AO21/'FY21 FTE'!AO$120</f>
        <v>1.3</v>
      </c>
      <c r="AP21" s="28">
        <f>'FY21 Final Initial $$'!AP21/'FY21 FTE'!AP$120</f>
        <v>1.3</v>
      </c>
      <c r="AQ21" s="28">
        <f>'FY21 Final Initial $$'!AQ21/'FY21 FTE'!AQ$120</f>
        <v>1.4000000000000001</v>
      </c>
      <c r="AR21" s="28">
        <f>'FY21 Final Initial $$'!AR21/'FY21 FTE'!AR$120</f>
        <v>0</v>
      </c>
      <c r="AS21" s="28">
        <f>'FY21 Final Initial $$'!AS21/'FY21 FTE'!AS$120</f>
        <v>0</v>
      </c>
      <c r="AT21" s="28">
        <f>'FY21 Final Initial $$'!AT21/'FY21 FTE'!AT$120</f>
        <v>0</v>
      </c>
      <c r="AU21" s="28">
        <f>'FY21 Final Initial $$'!AU21/'FY21 FTE'!AU$120</f>
        <v>0</v>
      </c>
      <c r="AV21" s="28">
        <f>'FY21 Final Initial $$'!AV21/'FY21 FTE'!AV$120</f>
        <v>0</v>
      </c>
      <c r="AW21" s="28">
        <f>'FY21 Final Initial $$'!AW21/'FY21 FTE'!AW$120</f>
        <v>0</v>
      </c>
      <c r="AX21" s="28">
        <f>'FY21 Final Initial $$'!AX21/'FY21 FTE'!AX$120</f>
        <v>0</v>
      </c>
      <c r="AY21" s="28">
        <f>'FY21 Final Initial $$'!AY21/'FY21 FTE'!AY$120</f>
        <v>1</v>
      </c>
      <c r="AZ21" s="28">
        <f>'FY21 Final Initial $$'!AZ21/'FY21 FTE'!AZ$120</f>
        <v>1</v>
      </c>
      <c r="BA21" s="28">
        <f>'FY21 Final Initial $$'!BA21/'FY21 FTE'!BA$120</f>
        <v>4</v>
      </c>
      <c r="BB21" s="28">
        <f>'FY21 Final Initial $$'!BB21/'FY21 FTE'!BB$120</f>
        <v>0</v>
      </c>
      <c r="BC21" s="28">
        <f>'FY21 Final Initial $$'!BC21/'FY21 FTE'!BC$120</f>
        <v>0</v>
      </c>
      <c r="BD21" s="28">
        <f>'FY21 Final Initial $$'!BD21/'FY21 FTE'!BD$120</f>
        <v>0</v>
      </c>
      <c r="BE21" s="28">
        <f>'FY21 Final Initial $$'!BE21/'FY21 FTE'!BE$120</f>
        <v>1</v>
      </c>
      <c r="BF21" s="28">
        <f>'FY21 Final Initial $$'!BF21/'FY21 FTE'!BF$120</f>
        <v>0</v>
      </c>
      <c r="BG21" s="28">
        <f>'FY21 Final Initial $$'!BG21/'FY21 FTE'!BG$120</f>
        <v>0</v>
      </c>
      <c r="BH21" s="28">
        <f>'FY21 Final Initial $$'!BH21/'FY21 FTE'!BH$120</f>
        <v>0</v>
      </c>
      <c r="BI21" s="28">
        <f>'FY21 Final Initial $$'!BI21/'FY21 FTE'!BI$120</f>
        <v>0</v>
      </c>
      <c r="BJ21" s="28">
        <f>'FY21 Final Initial $$'!BJ21/'FY21 FTE'!BJ$120</f>
        <v>0</v>
      </c>
      <c r="BK21" s="20">
        <v>0</v>
      </c>
      <c r="BL21" s="20"/>
      <c r="BM21" s="20"/>
      <c r="BN21" s="20">
        <v>0</v>
      </c>
      <c r="BO21" s="20">
        <v>0</v>
      </c>
      <c r="BP21" s="20">
        <v>8125</v>
      </c>
      <c r="BQ21" s="28">
        <f>'FY21 Final Initial $$'!BQ21/'FY21 FTE'!BQ$120</f>
        <v>0</v>
      </c>
      <c r="BR21" s="28">
        <f>'FY21 Final Initial $$'!BR21/'FY21 FTE'!BR$120</f>
        <v>0</v>
      </c>
      <c r="BS21" s="28">
        <f>'FY21 Final Initial $$'!BS21/'FY21 FTE'!BS$120</f>
        <v>0</v>
      </c>
      <c r="BT21" s="28">
        <f>'FY21 Final Initial $$'!BT21/'FY21 FTE'!BT$120</f>
        <v>0</v>
      </c>
      <c r="BU21" s="28">
        <f>'FY21 Final Initial $$'!BU21/'FY21 FTE'!BU$120</f>
        <v>0</v>
      </c>
      <c r="BV21" s="28">
        <f>'FY21 Final Initial $$'!BV21/'FY21 FTE'!BV$120</f>
        <v>0</v>
      </c>
      <c r="BW21" s="28">
        <f>'FY21 Final Initial $$'!BW21/'FY21 FTE'!BW$120</f>
        <v>0</v>
      </c>
      <c r="BX21" s="20">
        <v>0</v>
      </c>
      <c r="BY21" s="20">
        <v>0</v>
      </c>
      <c r="BZ21" s="20">
        <v>0</v>
      </c>
      <c r="CA21" s="20">
        <v>0</v>
      </c>
      <c r="CB21" s="28">
        <f>'FY21 Final Initial $$'!CB21/'FY21 FTE'!CB$120</f>
        <v>0</v>
      </c>
      <c r="CC21" s="28">
        <f>'FY21 Final Initial $$'!CC21/'FY21 FTE'!CC$120</f>
        <v>0</v>
      </c>
      <c r="CD21" s="20">
        <v>0</v>
      </c>
      <c r="CE21" s="28">
        <f>'FY21 Final Initial $$'!CE21/'FY21 FTE'!CE$120</f>
        <v>0</v>
      </c>
      <c r="CF21" s="28">
        <f>'FY21 Final Initial $$'!CF21/'FY21 FTE'!CF$120</f>
        <v>0</v>
      </c>
      <c r="CG21" s="28">
        <f>'FY21 Final Initial $$'!CG21/'FY21 FTE'!CG$120</f>
        <v>0</v>
      </c>
      <c r="CH21" s="28">
        <f>'FY21 Final Initial $$'!CH21/'FY21 FTE'!CH$120</f>
        <v>0</v>
      </c>
      <c r="CI21" s="28">
        <f>'FY21 Final Initial $$'!CI21/'FY21 FTE'!CI$120</f>
        <v>0</v>
      </c>
      <c r="CJ21" s="28">
        <f>'FY21 Final Initial $$'!CJ21/'FY21 FTE'!CJ$120</f>
        <v>0</v>
      </c>
      <c r="CK21" s="28">
        <f>'FY21 Final Initial $$'!CK21/'FY21 FTE'!CK$120</f>
        <v>2</v>
      </c>
      <c r="CL21" s="28">
        <f>'FY21 Final Initial $$'!CL21/'FY21 FTE'!CL$120</f>
        <v>0</v>
      </c>
      <c r="CM21" s="20">
        <v>23000</v>
      </c>
      <c r="CN21" s="20">
        <v>5000</v>
      </c>
      <c r="CO21" s="20">
        <v>167765.28</v>
      </c>
      <c r="CP21" s="20">
        <v>100000</v>
      </c>
      <c r="CQ21" s="28">
        <f>'FY21 Final Initial $$'!CQ21/'FY21 FTE'!CQ$120</f>
        <v>0</v>
      </c>
      <c r="CR21" s="20">
        <v>0</v>
      </c>
      <c r="CS21" s="20">
        <v>0</v>
      </c>
      <c r="CT21" s="20">
        <v>72000</v>
      </c>
      <c r="CU21" s="20">
        <v>20411.761096938775</v>
      </c>
      <c r="CV21" s="28">
        <f>'FY21 Final Initial $$'!CV21/'FY21 FTE'!CV$120</f>
        <v>0</v>
      </c>
      <c r="CW21" s="28">
        <f>'FY21 Final Initial $$'!CW21/'FY21 FTE'!CW$120</f>
        <v>0</v>
      </c>
      <c r="CX21" s="20">
        <v>0</v>
      </c>
      <c r="CY21" s="28">
        <f>'FY21 Final Initial $$'!CY21/'FY21 FTE'!CY$120</f>
        <v>0</v>
      </c>
      <c r="CZ21" s="20">
        <v>0</v>
      </c>
      <c r="DA21" s="20">
        <v>0</v>
      </c>
      <c r="DB21" s="20">
        <v>33900</v>
      </c>
      <c r="DC21" s="20">
        <v>80682.536847900075</v>
      </c>
      <c r="DD21" s="20">
        <v>0</v>
      </c>
      <c r="DE21" s="20">
        <v>0</v>
      </c>
      <c r="DF21" s="20">
        <v>0</v>
      </c>
      <c r="DG21" s="20">
        <v>0</v>
      </c>
      <c r="DH21" s="28">
        <f>'FY21 Final Initial $$'!DH21/'FY21 FTE'!DH$120</f>
        <v>0</v>
      </c>
      <c r="DI21" s="20"/>
      <c r="DJ21" s="20">
        <v>8550.0001139938831</v>
      </c>
      <c r="DK21" s="22">
        <v>0</v>
      </c>
      <c r="DL21" s="20">
        <v>0</v>
      </c>
      <c r="DM21" s="20">
        <v>0</v>
      </c>
      <c r="DN21" s="20">
        <v>5358772.2704749862</v>
      </c>
      <c r="DO21" s="29">
        <f t="shared" si="1"/>
        <v>10</v>
      </c>
      <c r="DP21" s="29">
        <f t="shared" si="1"/>
        <v>10</v>
      </c>
      <c r="DQ21" s="29">
        <f t="shared" si="2"/>
        <v>10.000000000000002</v>
      </c>
      <c r="DR21" s="29">
        <f t="shared" si="3"/>
        <v>7</v>
      </c>
      <c r="DS21" s="29">
        <f t="shared" si="4"/>
        <v>0</v>
      </c>
    </row>
    <row r="22" spans="1:123" x14ac:dyDescent="0.25">
      <c r="A22" s="18">
        <v>454</v>
      </c>
      <c r="B22" t="s">
        <v>160</v>
      </c>
      <c r="C22" t="s">
        <v>161</v>
      </c>
      <c r="D22">
        <v>1</v>
      </c>
      <c r="E22">
        <v>736</v>
      </c>
      <c r="F22" s="19">
        <f t="shared" si="0"/>
        <v>0.82608695652173914</v>
      </c>
      <c r="G22">
        <v>608</v>
      </c>
      <c r="H22" s="28">
        <f>'FY21 Final Initial $$'!H22/'FY21 FTE'!H$120</f>
        <v>1</v>
      </c>
      <c r="I22" s="28">
        <f>'FY21 Final Initial $$'!I22/'FY21 FTE'!I$120</f>
        <v>1</v>
      </c>
      <c r="J22" s="28">
        <f>'FY21 Final Initial $$'!J22/'FY21 FTE'!J$120</f>
        <v>2.5</v>
      </c>
      <c r="K22" s="28">
        <f>'FY21 Final Initial $$'!K22/'FY21 FTE'!K$120</f>
        <v>1</v>
      </c>
      <c r="L22" s="28">
        <f>'FY21 Final Initial $$'!L22/'FY21 FTE'!L$120</f>
        <v>2.5</v>
      </c>
      <c r="M22" s="28">
        <f>'FY21 Final Initial $$'!M22/'FY21 FTE'!M$120</f>
        <v>1</v>
      </c>
      <c r="N22" s="28">
        <f>'FY21 Final Initial $$'!N22/'FY21 FTE'!N$120</f>
        <v>1</v>
      </c>
      <c r="O22" s="28">
        <f>'FY21 Final Initial $$'!O22/'FY21 FTE'!O$120</f>
        <v>1.8</v>
      </c>
      <c r="P22" s="28">
        <f>'FY21 Final Initial $$'!P22/'FY21 FTE'!P$120</f>
        <v>1</v>
      </c>
      <c r="Q22" s="28">
        <f>'FY21 Final Initial $$'!Q22/'FY21 FTE'!Q$120</f>
        <v>1.0000004487061702</v>
      </c>
      <c r="R22" s="28">
        <f>'FY21 Final Initial $$'!R22/'FY21 FTE'!R$120</f>
        <v>0</v>
      </c>
      <c r="S22" s="28">
        <f>'FY21 Final Initial $$'!S22/'FY21 FTE'!S$120</f>
        <v>1</v>
      </c>
      <c r="T22" s="28">
        <f>'FY21 Final Initial $$'!T22/'FY21 FTE'!T$120</f>
        <v>1</v>
      </c>
      <c r="U22" s="28">
        <f>'FY21 Final Initial $$'!U22/'FY21 FTE'!U$120</f>
        <v>8</v>
      </c>
      <c r="V22" s="28">
        <f>'FY21 Final Initial $$'!V22/'FY21 FTE'!V$120</f>
        <v>1</v>
      </c>
      <c r="W22" s="28">
        <f>'FY21 Final Initial $$'!W22/'FY21 FTE'!W$120</f>
        <v>0</v>
      </c>
      <c r="X22" s="28">
        <f>'FY21 Final Initial $$'!X22/'FY21 FTE'!X$120</f>
        <v>0</v>
      </c>
      <c r="Y22" s="28">
        <f>'FY21 Final Initial $$'!Y22/'FY21 FTE'!Y$120</f>
        <v>0</v>
      </c>
      <c r="Z22" s="28">
        <f>'FY21 Final Initial $$'!Z22/'FY21 FTE'!Z$120</f>
        <v>0</v>
      </c>
      <c r="AA22" s="28">
        <f>'FY21 Final Initial $$'!AA22/'FY21 FTE'!AA$120</f>
        <v>0</v>
      </c>
      <c r="AB22" s="28">
        <f>'FY21 Final Initial $$'!AB22/'FY21 FTE'!AB$120</f>
        <v>0</v>
      </c>
      <c r="AC22" s="28">
        <f>'FY21 Final Initial $$'!AC22/'FY21 FTE'!AC$120</f>
        <v>0</v>
      </c>
      <c r="AD22" s="28">
        <f>'FY21 Final Initial $$'!AD22/'FY21 FTE'!AD$120</f>
        <v>0</v>
      </c>
      <c r="AE22" s="28">
        <f>'FY21 Final Initial $$'!AE22/'FY21 FTE'!AE$120</f>
        <v>0</v>
      </c>
      <c r="AF22" s="28">
        <f>'FY21 Final Initial $$'!AF22/'FY21 FTE'!AF$120</f>
        <v>0</v>
      </c>
      <c r="AG22" s="28">
        <f>'FY21 Final Initial $$'!AG22/'FY21 FTE'!AG$120</f>
        <v>0</v>
      </c>
      <c r="AH22" s="28">
        <f>'FY21 Final Initial $$'!AH22/'FY21 FTE'!AH$120</f>
        <v>0</v>
      </c>
      <c r="AI22" s="28">
        <f>'FY21 Final Initial $$'!AI22/'FY21 FTE'!AI$120</f>
        <v>0</v>
      </c>
      <c r="AJ22" s="28">
        <f>'FY21 Final Initial $$'!AJ22/'FY21 FTE'!AJ$120</f>
        <v>0</v>
      </c>
      <c r="AK22" s="28">
        <f>'FY21 Final Initial $$'!AK22/'FY21 FTE'!AK$120</f>
        <v>0</v>
      </c>
      <c r="AL22" s="28">
        <f>'FY21 Final Initial $$'!AL22/'FY21 FTE'!AL$120</f>
        <v>0</v>
      </c>
      <c r="AM22" s="28">
        <f>'FY21 Final Initial $$'!AM22/'FY21 FTE'!AM$120</f>
        <v>0</v>
      </c>
      <c r="AN22" s="28">
        <f>'FY21 Final Initial $$'!AN22/'FY21 FTE'!AN$120</f>
        <v>0</v>
      </c>
      <c r="AO22" s="28">
        <f>'FY21 Final Initial $$'!AO22/'FY21 FTE'!AO$120</f>
        <v>3.4</v>
      </c>
      <c r="AP22" s="28">
        <f>'FY21 Final Initial $$'!AP22/'FY21 FTE'!AP$120</f>
        <v>3.9</v>
      </c>
      <c r="AQ22" s="28">
        <f>'FY21 Final Initial $$'!AQ22/'FY21 FTE'!AQ$120</f>
        <v>2.9</v>
      </c>
      <c r="AR22" s="28">
        <f>'FY21 Final Initial $$'!AR22/'FY21 FTE'!AR$120</f>
        <v>0</v>
      </c>
      <c r="AS22" s="28">
        <f>'FY21 Final Initial $$'!AS22/'FY21 FTE'!AS$120</f>
        <v>0</v>
      </c>
      <c r="AT22" s="28">
        <f>'FY21 Final Initial $$'!AT22/'FY21 FTE'!AT$120</f>
        <v>0</v>
      </c>
      <c r="AU22" s="28">
        <f>'FY21 Final Initial $$'!AU22/'FY21 FTE'!AU$120</f>
        <v>0</v>
      </c>
      <c r="AV22" s="28">
        <f>'FY21 Final Initial $$'!AV22/'FY21 FTE'!AV$120</f>
        <v>0</v>
      </c>
      <c r="AW22" s="28">
        <f>'FY21 Final Initial $$'!AW22/'FY21 FTE'!AW$120</f>
        <v>30.525992028738035</v>
      </c>
      <c r="AX22" s="28">
        <f>'FY21 Final Initial $$'!AX22/'FY21 FTE'!AX$120</f>
        <v>0</v>
      </c>
      <c r="AY22" s="28">
        <f>'FY21 Final Initial $$'!AY22/'FY21 FTE'!AY$120</f>
        <v>1</v>
      </c>
      <c r="AZ22" s="28">
        <f>'FY21 Final Initial $$'!AZ22/'FY21 FTE'!AZ$120</f>
        <v>8</v>
      </c>
      <c r="BA22" s="28">
        <f>'FY21 Final Initial $$'!BA22/'FY21 FTE'!BA$120</f>
        <v>21</v>
      </c>
      <c r="BB22" s="28">
        <f>'FY21 Final Initial $$'!BB22/'FY21 FTE'!BB$120</f>
        <v>13</v>
      </c>
      <c r="BC22" s="28">
        <f>'FY21 Final Initial $$'!BC22/'FY21 FTE'!BC$120</f>
        <v>2</v>
      </c>
      <c r="BD22" s="28">
        <f>'FY21 Final Initial $$'!BD22/'FY21 FTE'!BD$120</f>
        <v>0</v>
      </c>
      <c r="BE22" s="28">
        <f>'FY21 Final Initial $$'!BE22/'FY21 FTE'!BE$120</f>
        <v>15</v>
      </c>
      <c r="BF22" s="28">
        <f>'FY21 Final Initial $$'!BF22/'FY21 FTE'!BF$120</f>
        <v>2</v>
      </c>
      <c r="BG22" s="28">
        <f>'FY21 Final Initial $$'!BG22/'FY21 FTE'!BG$120</f>
        <v>3.3751672273371414</v>
      </c>
      <c r="BH22" s="28">
        <f>'FY21 Final Initial $$'!BH22/'FY21 FTE'!BH$120</f>
        <v>0</v>
      </c>
      <c r="BI22" s="28">
        <f>'FY21 Final Initial $$'!BI22/'FY21 FTE'!BI$120</f>
        <v>0</v>
      </c>
      <c r="BJ22" s="28">
        <f>'FY21 Final Initial $$'!BJ22/'FY21 FTE'!BJ$120</f>
        <v>0</v>
      </c>
      <c r="BK22" s="20">
        <v>70000</v>
      </c>
      <c r="BL22" s="20"/>
      <c r="BM22" s="20"/>
      <c r="BN22" s="20">
        <v>309829.11</v>
      </c>
      <c r="BO22" s="20">
        <v>5125.78</v>
      </c>
      <c r="BP22" s="20">
        <v>0</v>
      </c>
      <c r="BQ22" s="28">
        <f>'FY21 Final Initial $$'!BQ22/'FY21 FTE'!BQ$120</f>
        <v>0</v>
      </c>
      <c r="BR22" s="28">
        <f>'FY21 Final Initial $$'!BR22/'FY21 FTE'!BR$120</f>
        <v>0</v>
      </c>
      <c r="BS22" s="28">
        <f>'FY21 Final Initial $$'!BS22/'FY21 FTE'!BS$120</f>
        <v>1</v>
      </c>
      <c r="BT22" s="28">
        <f>'FY21 Final Initial $$'!BT22/'FY21 FTE'!BT$120</f>
        <v>0</v>
      </c>
      <c r="BU22" s="28">
        <f>'FY21 Final Initial $$'!BU22/'FY21 FTE'!BU$120</f>
        <v>0</v>
      </c>
      <c r="BV22" s="28">
        <f>'FY21 Final Initial $$'!BV22/'FY21 FTE'!BV$120</f>
        <v>0</v>
      </c>
      <c r="BW22" s="28">
        <f>'FY21 Final Initial $$'!BW22/'FY21 FTE'!BW$120</f>
        <v>1</v>
      </c>
      <c r="BX22" s="20">
        <v>8279.7800000000007</v>
      </c>
      <c r="BY22" s="20">
        <v>16920</v>
      </c>
      <c r="BZ22" s="20">
        <v>0</v>
      </c>
      <c r="CA22" s="20">
        <v>0</v>
      </c>
      <c r="CB22" s="28">
        <f>'FY21 Final Initial $$'!CB22/'FY21 FTE'!CB$120</f>
        <v>0</v>
      </c>
      <c r="CC22" s="28">
        <f>'FY21 Final Initial $$'!CC22/'FY21 FTE'!CC$120</f>
        <v>0</v>
      </c>
      <c r="CD22" s="20">
        <v>44000</v>
      </c>
      <c r="CE22" s="28">
        <f>'FY21 Final Initial $$'!CE22/'FY21 FTE'!CE$120</f>
        <v>2</v>
      </c>
      <c r="CF22" s="28">
        <f>'FY21 Final Initial $$'!CF22/'FY21 FTE'!CF$120</f>
        <v>0</v>
      </c>
      <c r="CG22" s="28">
        <f>'FY21 Final Initial $$'!CG22/'FY21 FTE'!CG$120</f>
        <v>1</v>
      </c>
      <c r="CH22" s="28">
        <f>'FY21 Final Initial $$'!CH22/'FY21 FTE'!CH$120</f>
        <v>0</v>
      </c>
      <c r="CI22" s="28">
        <f>'FY21 Final Initial $$'!CI22/'FY21 FTE'!CI$120</f>
        <v>0</v>
      </c>
      <c r="CJ22" s="28">
        <f>'FY21 Final Initial $$'!CJ22/'FY21 FTE'!CJ$120</f>
        <v>1</v>
      </c>
      <c r="CK22" s="28">
        <f>'FY21 Final Initial $$'!CK22/'FY21 FTE'!CK$120</f>
        <v>2</v>
      </c>
      <c r="CL22" s="28">
        <f>'FY21 Final Initial $$'!CL22/'FY21 FTE'!CL$120</f>
        <v>0</v>
      </c>
      <c r="CM22" s="20">
        <v>23000</v>
      </c>
      <c r="CN22" s="20">
        <v>5000</v>
      </c>
      <c r="CO22" s="20">
        <v>676216</v>
      </c>
      <c r="CP22" s="20">
        <v>100000</v>
      </c>
      <c r="CQ22" s="28">
        <f>'FY21 Final Initial $$'!CQ22/'FY21 FTE'!CQ$120</f>
        <v>1</v>
      </c>
      <c r="CR22" s="20">
        <v>75000</v>
      </c>
      <c r="CS22" s="20">
        <v>24320</v>
      </c>
      <c r="CT22" s="20">
        <v>46440</v>
      </c>
      <c r="CU22" s="20">
        <v>91149.143925233642</v>
      </c>
      <c r="CV22" s="28">
        <f>'FY21 Final Initial $$'!CV22/'FY21 FTE'!CV$120</f>
        <v>1</v>
      </c>
      <c r="CW22" s="28">
        <f>'FY21 Final Initial $$'!CW22/'FY21 FTE'!CW$120</f>
        <v>0</v>
      </c>
      <c r="CX22" s="20">
        <v>0</v>
      </c>
      <c r="CY22" s="28">
        <f>'FY21 Final Initial $$'!CY22/'FY21 FTE'!CY$120</f>
        <v>0</v>
      </c>
      <c r="CZ22" s="20">
        <v>5000</v>
      </c>
      <c r="DA22" s="20">
        <v>113945.66</v>
      </c>
      <c r="DB22" s="20">
        <v>73600</v>
      </c>
      <c r="DC22" s="20">
        <v>214582.15256576095</v>
      </c>
      <c r="DD22" s="20">
        <v>0</v>
      </c>
      <c r="DE22" s="20">
        <v>0</v>
      </c>
      <c r="DF22" s="20">
        <v>0</v>
      </c>
      <c r="DG22" s="20">
        <v>0</v>
      </c>
      <c r="DH22" s="28">
        <f>'FY21 Final Initial $$'!DH22/'FY21 FTE'!DH$120</f>
        <v>0</v>
      </c>
      <c r="DI22" s="20"/>
      <c r="DJ22" s="20">
        <v>58125.001519918442</v>
      </c>
      <c r="DK22" s="22">
        <v>0</v>
      </c>
      <c r="DL22" s="20">
        <v>0</v>
      </c>
      <c r="DM22" s="20">
        <v>0</v>
      </c>
      <c r="DN22" s="20">
        <v>15770945.704890739</v>
      </c>
      <c r="DO22" s="29">
        <f t="shared" si="1"/>
        <v>0</v>
      </c>
      <c r="DP22" s="29">
        <f t="shared" si="1"/>
        <v>0</v>
      </c>
      <c r="DQ22" s="29">
        <f t="shared" si="2"/>
        <v>40.725992028738034</v>
      </c>
      <c r="DR22" s="29">
        <f t="shared" si="3"/>
        <v>48.375167227337144</v>
      </c>
      <c r="DS22" s="29">
        <f t="shared" si="4"/>
        <v>15</v>
      </c>
    </row>
    <row r="23" spans="1:123" x14ac:dyDescent="0.25">
      <c r="A23" s="18">
        <v>224</v>
      </c>
      <c r="B23" t="s">
        <v>162</v>
      </c>
      <c r="C23" t="s">
        <v>135</v>
      </c>
      <c r="D23">
        <v>1</v>
      </c>
      <c r="E23">
        <v>307</v>
      </c>
      <c r="F23" s="19">
        <f t="shared" si="0"/>
        <v>0.44625407166123776</v>
      </c>
      <c r="G23">
        <v>137</v>
      </c>
      <c r="H23" s="28">
        <f>'FY21 Final Initial $$'!H23/'FY21 FTE'!H$120</f>
        <v>1</v>
      </c>
      <c r="I23" s="28">
        <f>'FY21 Final Initial $$'!I23/'FY21 FTE'!I$120</f>
        <v>1</v>
      </c>
      <c r="J23" s="28">
        <f>'FY21 Final Initial $$'!J23/'FY21 FTE'!J$120</f>
        <v>0.8</v>
      </c>
      <c r="K23" s="28">
        <f>'FY21 Final Initial $$'!K23/'FY21 FTE'!K$120</f>
        <v>0</v>
      </c>
      <c r="L23" s="28">
        <f>'FY21 Final Initial $$'!L23/'FY21 FTE'!L$120</f>
        <v>0</v>
      </c>
      <c r="M23" s="28">
        <f>'FY21 Final Initial $$'!M23/'FY21 FTE'!M$120</f>
        <v>1</v>
      </c>
      <c r="N23" s="28">
        <f>'FY21 Final Initial $$'!N23/'FY21 FTE'!N$120</f>
        <v>1</v>
      </c>
      <c r="O23" s="28">
        <f>'FY21 Final Initial $$'!O23/'FY21 FTE'!O$120</f>
        <v>0</v>
      </c>
      <c r="P23" s="28">
        <f>'FY21 Final Initial $$'!P23/'FY21 FTE'!P$120</f>
        <v>0</v>
      </c>
      <c r="Q23" s="28">
        <f>'FY21 Final Initial $$'!Q23/'FY21 FTE'!Q$120</f>
        <v>0</v>
      </c>
      <c r="R23" s="28">
        <f>'FY21 Final Initial $$'!R23/'FY21 FTE'!R$120</f>
        <v>0</v>
      </c>
      <c r="S23" s="28">
        <f>'FY21 Final Initial $$'!S23/'FY21 FTE'!S$120</f>
        <v>1</v>
      </c>
      <c r="T23" s="28">
        <f>'FY21 Final Initial $$'!T23/'FY21 FTE'!T$120</f>
        <v>1</v>
      </c>
      <c r="U23" s="28">
        <f>'FY21 Final Initial $$'!U23/'FY21 FTE'!U$120</f>
        <v>2</v>
      </c>
      <c r="V23" s="28">
        <f>'FY21 Final Initial $$'!V23/'FY21 FTE'!V$120</f>
        <v>1</v>
      </c>
      <c r="W23" s="28">
        <f>'FY21 Final Initial $$'!W23/'FY21 FTE'!W$120</f>
        <v>1</v>
      </c>
      <c r="X23" s="28">
        <f>'FY21 Final Initial $$'!X23/'FY21 FTE'!X$120</f>
        <v>1</v>
      </c>
      <c r="Y23" s="28">
        <f>'FY21 Final Initial $$'!Y23/'FY21 FTE'!Y$120</f>
        <v>1</v>
      </c>
      <c r="Z23" s="28">
        <f>'FY21 Final Initial $$'!Z23/'FY21 FTE'!Z$120</f>
        <v>0</v>
      </c>
      <c r="AA23" s="28">
        <f>'FY21 Final Initial $$'!AA23/'FY21 FTE'!AA$120</f>
        <v>1.5</v>
      </c>
      <c r="AB23" s="28">
        <f>'FY21 Final Initial $$'!AB23/'FY21 FTE'!AB$120</f>
        <v>2</v>
      </c>
      <c r="AC23" s="28">
        <f>'FY21 Final Initial $$'!AC23/'FY21 FTE'!AC$120</f>
        <v>2</v>
      </c>
      <c r="AD23" s="28">
        <f>'FY21 Final Initial $$'!AD23/'FY21 FTE'!AD$120</f>
        <v>1</v>
      </c>
      <c r="AE23" s="28">
        <f>'FY21 Final Initial $$'!AE23/'FY21 FTE'!AE$120</f>
        <v>2</v>
      </c>
      <c r="AF23" s="28">
        <f>'FY21 Final Initial $$'!AF23/'FY21 FTE'!AF$120</f>
        <v>2</v>
      </c>
      <c r="AG23" s="28">
        <f>'FY21 Final Initial $$'!AG23/'FY21 FTE'!AG$120</f>
        <v>2</v>
      </c>
      <c r="AH23" s="28">
        <f>'FY21 Final Initial $$'!AH23/'FY21 FTE'!AH$120</f>
        <v>3</v>
      </c>
      <c r="AI23" s="28">
        <f>'FY21 Final Initial $$'!AI23/'FY21 FTE'!AI$120</f>
        <v>3</v>
      </c>
      <c r="AJ23" s="28">
        <f>'FY21 Final Initial $$'!AJ23/'FY21 FTE'!AJ$120</f>
        <v>2</v>
      </c>
      <c r="AK23" s="28">
        <f>'FY21 Final Initial $$'!AK23/'FY21 FTE'!AK$120</f>
        <v>2</v>
      </c>
      <c r="AL23" s="28">
        <f>'FY21 Final Initial $$'!AL23/'FY21 FTE'!AL$120</f>
        <v>2</v>
      </c>
      <c r="AM23" s="28">
        <f>'FY21 Final Initial $$'!AM23/'FY21 FTE'!AM$120</f>
        <v>2</v>
      </c>
      <c r="AN23" s="28">
        <f>'FY21 Final Initial $$'!AN23/'FY21 FTE'!AN$120</f>
        <v>2.0000000000000027</v>
      </c>
      <c r="AO23" s="28">
        <f>'FY21 Final Initial $$'!AO23/'FY21 FTE'!AO$120</f>
        <v>0</v>
      </c>
      <c r="AP23" s="28">
        <f>'FY21 Final Initial $$'!AP23/'FY21 FTE'!AP$120</f>
        <v>0</v>
      </c>
      <c r="AQ23" s="28">
        <f>'FY21 Final Initial $$'!AQ23/'FY21 FTE'!AQ$120</f>
        <v>0</v>
      </c>
      <c r="AR23" s="28">
        <f>'FY21 Final Initial $$'!AR23/'FY21 FTE'!AR$120</f>
        <v>0</v>
      </c>
      <c r="AS23" s="28">
        <f>'FY21 Final Initial $$'!AS23/'FY21 FTE'!AS$120</f>
        <v>0</v>
      </c>
      <c r="AT23" s="28">
        <f>'FY21 Final Initial $$'!AT23/'FY21 FTE'!AT$120</f>
        <v>0</v>
      </c>
      <c r="AU23" s="28">
        <f>'FY21 Final Initial $$'!AU23/'FY21 FTE'!AU$120</f>
        <v>0</v>
      </c>
      <c r="AV23" s="28">
        <f>'FY21 Final Initial $$'!AV23/'FY21 FTE'!AV$120</f>
        <v>0</v>
      </c>
      <c r="AW23" s="28">
        <f>'FY21 Final Initial $$'!AW23/'FY21 FTE'!AW$120</f>
        <v>0</v>
      </c>
      <c r="AX23" s="28">
        <f>'FY21 Final Initial $$'!AX23/'FY21 FTE'!AX$120</f>
        <v>0</v>
      </c>
      <c r="AY23" s="28">
        <f>'FY21 Final Initial $$'!AY23/'FY21 FTE'!AY$120</f>
        <v>0.5</v>
      </c>
      <c r="AZ23" s="28">
        <f>'FY21 Final Initial $$'!AZ23/'FY21 FTE'!AZ$120</f>
        <v>2</v>
      </c>
      <c r="BA23" s="28">
        <f>'FY21 Final Initial $$'!BA23/'FY21 FTE'!BA$120</f>
        <v>7</v>
      </c>
      <c r="BB23" s="28">
        <f>'FY21 Final Initial $$'!BB23/'FY21 FTE'!BB$120</f>
        <v>6</v>
      </c>
      <c r="BC23" s="28">
        <f>'FY21 Final Initial $$'!BC23/'FY21 FTE'!BC$120</f>
        <v>0</v>
      </c>
      <c r="BD23" s="28">
        <f>'FY21 Final Initial $$'!BD23/'FY21 FTE'!BD$120</f>
        <v>0</v>
      </c>
      <c r="BE23" s="28">
        <f>'FY21 Final Initial $$'!BE23/'FY21 FTE'!BE$120</f>
        <v>4</v>
      </c>
      <c r="BF23" s="28">
        <f>'FY21 Final Initial $$'!BF23/'FY21 FTE'!BF$120</f>
        <v>0</v>
      </c>
      <c r="BG23" s="28">
        <f>'FY21 Final Initial $$'!BG23/'FY21 FTE'!BG$120</f>
        <v>0</v>
      </c>
      <c r="BH23" s="28">
        <f>'FY21 Final Initial $$'!BH23/'FY21 FTE'!BH$120</f>
        <v>4</v>
      </c>
      <c r="BI23" s="28">
        <f>'FY21 Final Initial $$'!BI23/'FY21 FTE'!BI$120</f>
        <v>4</v>
      </c>
      <c r="BJ23" s="28">
        <f>'FY21 Final Initial $$'!BJ23/'FY21 FTE'!BJ$120</f>
        <v>1</v>
      </c>
      <c r="BK23" s="20">
        <v>0</v>
      </c>
      <c r="BL23" s="20"/>
      <c r="BM23" s="20"/>
      <c r="BN23" s="20">
        <v>131261.85</v>
      </c>
      <c r="BO23" s="20">
        <v>2171.58</v>
      </c>
      <c r="BP23" s="20">
        <v>0</v>
      </c>
      <c r="BQ23" s="28">
        <f>'FY21 Final Initial $$'!BQ23/'FY21 FTE'!BQ$120</f>
        <v>0</v>
      </c>
      <c r="BR23" s="28">
        <f>'FY21 Final Initial $$'!BR23/'FY21 FTE'!BR$120</f>
        <v>0</v>
      </c>
      <c r="BS23" s="28">
        <f>'FY21 Final Initial $$'!BS23/'FY21 FTE'!BS$120</f>
        <v>0</v>
      </c>
      <c r="BT23" s="28">
        <f>'FY21 Final Initial $$'!BT23/'FY21 FTE'!BT$120</f>
        <v>0</v>
      </c>
      <c r="BU23" s="28">
        <f>'FY21 Final Initial $$'!BU23/'FY21 FTE'!BU$120</f>
        <v>0</v>
      </c>
      <c r="BV23" s="28">
        <f>'FY21 Final Initial $$'!BV23/'FY21 FTE'!BV$120</f>
        <v>0</v>
      </c>
      <c r="BW23" s="28">
        <f>'FY21 Final Initial $$'!BW23/'FY21 FTE'!BW$120</f>
        <v>0</v>
      </c>
      <c r="BX23" s="20">
        <v>0</v>
      </c>
      <c r="BY23" s="20">
        <v>0</v>
      </c>
      <c r="BZ23" s="20">
        <v>0</v>
      </c>
      <c r="CA23" s="20">
        <v>0</v>
      </c>
      <c r="CB23" s="28">
        <f>'FY21 Final Initial $$'!CB23/'FY21 FTE'!CB$120</f>
        <v>0</v>
      </c>
      <c r="CC23" s="28">
        <f>'FY21 Final Initial $$'!CC23/'FY21 FTE'!CC$120</f>
        <v>0</v>
      </c>
      <c r="CD23" s="20">
        <v>0</v>
      </c>
      <c r="CE23" s="28">
        <f>'FY21 Final Initial $$'!CE23/'FY21 FTE'!CE$120</f>
        <v>0</v>
      </c>
      <c r="CF23" s="28">
        <f>'FY21 Final Initial $$'!CF23/'FY21 FTE'!CF$120</f>
        <v>0</v>
      </c>
      <c r="CG23" s="28">
        <f>'FY21 Final Initial $$'!CG23/'FY21 FTE'!CG$120</f>
        <v>0</v>
      </c>
      <c r="CH23" s="28">
        <f>'FY21 Final Initial $$'!CH23/'FY21 FTE'!CH$120</f>
        <v>0</v>
      </c>
      <c r="CI23" s="28">
        <f>'FY21 Final Initial $$'!CI23/'FY21 FTE'!CI$120</f>
        <v>0</v>
      </c>
      <c r="CJ23" s="28">
        <f>'FY21 Final Initial $$'!CJ23/'FY21 FTE'!CJ$120</f>
        <v>0</v>
      </c>
      <c r="CK23" s="28">
        <f>'FY21 Final Initial $$'!CK23/'FY21 FTE'!CK$120</f>
        <v>0</v>
      </c>
      <c r="CL23" s="28">
        <f>'FY21 Final Initial $$'!CL23/'FY21 FTE'!CL$120</f>
        <v>0</v>
      </c>
      <c r="CM23" s="20">
        <v>0</v>
      </c>
      <c r="CN23" s="20">
        <v>0</v>
      </c>
      <c r="CO23" s="20">
        <v>55921.759999999995</v>
      </c>
      <c r="CP23" s="20">
        <v>0</v>
      </c>
      <c r="CQ23" s="28">
        <f>'FY21 Final Initial $$'!CQ23/'FY21 FTE'!CQ$120</f>
        <v>0</v>
      </c>
      <c r="CR23" s="20">
        <v>0</v>
      </c>
      <c r="CS23" s="20">
        <v>2740</v>
      </c>
      <c r="CT23" s="20">
        <v>0</v>
      </c>
      <c r="CU23" s="20">
        <v>17601.348121387284</v>
      </c>
      <c r="CV23" s="28">
        <f>'FY21 Final Initial $$'!CV23/'FY21 FTE'!CV$120</f>
        <v>0</v>
      </c>
      <c r="CW23" s="28">
        <f>'FY21 Final Initial $$'!CW23/'FY21 FTE'!CW$120</f>
        <v>0</v>
      </c>
      <c r="CX23" s="20">
        <v>0</v>
      </c>
      <c r="CY23" s="28">
        <f>'FY21 Final Initial $$'!CY23/'FY21 FTE'!CY$120</f>
        <v>0</v>
      </c>
      <c r="CZ23" s="20">
        <v>0</v>
      </c>
      <c r="DA23" s="20">
        <v>0</v>
      </c>
      <c r="DB23" s="20">
        <v>30700</v>
      </c>
      <c r="DC23" s="20">
        <v>87189.947147776154</v>
      </c>
      <c r="DD23" s="20">
        <v>0</v>
      </c>
      <c r="DE23" s="20">
        <v>0</v>
      </c>
      <c r="DF23" s="20">
        <v>0</v>
      </c>
      <c r="DG23" s="20">
        <v>0</v>
      </c>
      <c r="DH23" s="28">
        <f>'FY21 Final Initial $$'!DH23/'FY21 FTE'!DH$120</f>
        <v>0</v>
      </c>
      <c r="DI23" s="20"/>
      <c r="DJ23" s="20">
        <v>14574.999721348286</v>
      </c>
      <c r="DK23" s="22">
        <v>0</v>
      </c>
      <c r="DL23" s="20">
        <v>0</v>
      </c>
      <c r="DM23" s="20">
        <v>0</v>
      </c>
      <c r="DN23" s="20">
        <v>5854346.1525542485</v>
      </c>
      <c r="DO23" s="29">
        <f t="shared" si="1"/>
        <v>8</v>
      </c>
      <c r="DP23" s="29">
        <f t="shared" si="1"/>
        <v>9</v>
      </c>
      <c r="DQ23" s="29">
        <f t="shared" si="2"/>
        <v>10.000000000000004</v>
      </c>
      <c r="DR23" s="29">
        <f t="shared" si="3"/>
        <v>13.5</v>
      </c>
      <c r="DS23" s="29">
        <f t="shared" si="4"/>
        <v>6</v>
      </c>
    </row>
    <row r="24" spans="1:123" x14ac:dyDescent="0.25">
      <c r="A24" s="18">
        <v>442</v>
      </c>
      <c r="B24" t="s">
        <v>163</v>
      </c>
      <c r="C24" t="s">
        <v>161</v>
      </c>
      <c r="D24">
        <v>1</v>
      </c>
      <c r="E24">
        <v>1520</v>
      </c>
      <c r="F24" s="19">
        <f t="shared" si="0"/>
        <v>0.56973684210526321</v>
      </c>
      <c r="G24">
        <v>866</v>
      </c>
      <c r="H24" s="28">
        <f>'FY21 Final Initial $$'!H24/'FY21 FTE'!H$120</f>
        <v>1</v>
      </c>
      <c r="I24" s="28">
        <f>'FY21 Final Initial $$'!I24/'FY21 FTE'!I$120</f>
        <v>1</v>
      </c>
      <c r="J24" s="28">
        <f>'FY21 Final Initial $$'!J24/'FY21 FTE'!J$120</f>
        <v>5.0999999999999996</v>
      </c>
      <c r="K24" s="28">
        <f>'FY21 Final Initial $$'!K24/'FY21 FTE'!K$120</f>
        <v>1.5</v>
      </c>
      <c r="L24" s="28">
        <f>'FY21 Final Initial $$'!L24/'FY21 FTE'!L$120</f>
        <v>4</v>
      </c>
      <c r="M24" s="28">
        <f>'FY21 Final Initial $$'!M24/'FY21 FTE'!M$120</f>
        <v>1</v>
      </c>
      <c r="N24" s="28">
        <f>'FY21 Final Initial $$'!N24/'FY21 FTE'!N$120</f>
        <v>1</v>
      </c>
      <c r="O24" s="28">
        <f>'FY21 Final Initial $$'!O24/'FY21 FTE'!O$120</f>
        <v>3.8</v>
      </c>
      <c r="P24" s="28">
        <f>'FY21 Final Initial $$'!P24/'FY21 FTE'!P$120</f>
        <v>1</v>
      </c>
      <c r="Q24" s="28">
        <f>'FY21 Final Initial $$'!Q24/'FY21 FTE'!Q$120</f>
        <v>1.0000004487061702</v>
      </c>
      <c r="R24" s="28">
        <f>'FY21 Final Initial $$'!R24/'FY21 FTE'!R$120</f>
        <v>0</v>
      </c>
      <c r="S24" s="28">
        <f>'FY21 Final Initial $$'!S24/'FY21 FTE'!S$120</f>
        <v>1</v>
      </c>
      <c r="T24" s="28">
        <f>'FY21 Final Initial $$'!T24/'FY21 FTE'!T$120</f>
        <v>1</v>
      </c>
      <c r="U24" s="28">
        <f>'FY21 Final Initial $$'!U24/'FY21 FTE'!U$120</f>
        <v>10</v>
      </c>
      <c r="V24" s="28">
        <f>'FY21 Final Initial $$'!V24/'FY21 FTE'!V$120</f>
        <v>1</v>
      </c>
      <c r="W24" s="28">
        <f>'FY21 Final Initial $$'!W24/'FY21 FTE'!W$120</f>
        <v>0</v>
      </c>
      <c r="X24" s="28">
        <f>'FY21 Final Initial $$'!X24/'FY21 FTE'!X$120</f>
        <v>0</v>
      </c>
      <c r="Y24" s="28">
        <f>'FY21 Final Initial $$'!Y24/'FY21 FTE'!Y$120</f>
        <v>0</v>
      </c>
      <c r="Z24" s="28">
        <f>'FY21 Final Initial $$'!Z24/'FY21 FTE'!Z$120</f>
        <v>0</v>
      </c>
      <c r="AA24" s="28">
        <f>'FY21 Final Initial $$'!AA24/'FY21 FTE'!AA$120</f>
        <v>0</v>
      </c>
      <c r="AB24" s="28">
        <f>'FY21 Final Initial $$'!AB24/'FY21 FTE'!AB$120</f>
        <v>0</v>
      </c>
      <c r="AC24" s="28">
        <f>'FY21 Final Initial $$'!AC24/'FY21 FTE'!AC$120</f>
        <v>0</v>
      </c>
      <c r="AD24" s="28">
        <f>'FY21 Final Initial $$'!AD24/'FY21 FTE'!AD$120</f>
        <v>0</v>
      </c>
      <c r="AE24" s="28">
        <f>'FY21 Final Initial $$'!AE24/'FY21 FTE'!AE$120</f>
        <v>0</v>
      </c>
      <c r="AF24" s="28">
        <f>'FY21 Final Initial $$'!AF24/'FY21 FTE'!AF$120</f>
        <v>0</v>
      </c>
      <c r="AG24" s="28">
        <f>'FY21 Final Initial $$'!AG24/'FY21 FTE'!AG$120</f>
        <v>0</v>
      </c>
      <c r="AH24" s="28">
        <f>'FY21 Final Initial $$'!AH24/'FY21 FTE'!AH$120</f>
        <v>0</v>
      </c>
      <c r="AI24" s="28">
        <f>'FY21 Final Initial $$'!AI24/'FY21 FTE'!AI$120</f>
        <v>0</v>
      </c>
      <c r="AJ24" s="28">
        <f>'FY21 Final Initial $$'!AJ24/'FY21 FTE'!AJ$120</f>
        <v>0</v>
      </c>
      <c r="AK24" s="28">
        <f>'FY21 Final Initial $$'!AK24/'FY21 FTE'!AK$120</f>
        <v>0</v>
      </c>
      <c r="AL24" s="28">
        <f>'FY21 Final Initial $$'!AL24/'FY21 FTE'!AL$120</f>
        <v>0</v>
      </c>
      <c r="AM24" s="28">
        <f>'FY21 Final Initial $$'!AM24/'FY21 FTE'!AM$120</f>
        <v>0</v>
      </c>
      <c r="AN24" s="28">
        <f>'FY21 Final Initial $$'!AN24/'FY21 FTE'!AN$120</f>
        <v>0</v>
      </c>
      <c r="AO24" s="28">
        <f>'FY21 Final Initial $$'!AO24/'FY21 FTE'!AO$120</f>
        <v>9.8000000000000007</v>
      </c>
      <c r="AP24" s="28">
        <f>'FY21 Final Initial $$'!AP24/'FY21 FTE'!AP$120</f>
        <v>9.6999999999999993</v>
      </c>
      <c r="AQ24" s="28">
        <f>'FY21 Final Initial $$'!AQ24/'FY21 FTE'!AQ$120</f>
        <v>7.7</v>
      </c>
      <c r="AR24" s="28">
        <f>'FY21 Final Initial $$'!AR24/'FY21 FTE'!AR$120</f>
        <v>10.7</v>
      </c>
      <c r="AS24" s="28">
        <f>'FY21 Final Initial $$'!AS24/'FY21 FTE'!AS$120</f>
        <v>10.9</v>
      </c>
      <c r="AT24" s="28">
        <f>'FY21 Final Initial $$'!AT24/'FY21 FTE'!AT$120</f>
        <v>9.4</v>
      </c>
      <c r="AU24" s="28">
        <f>'FY21 Final Initial $$'!AU24/'FY21 FTE'!AU$120</f>
        <v>7.4</v>
      </c>
      <c r="AV24" s="28">
        <f>'FY21 Final Initial $$'!AV24/'FY21 FTE'!AV$120</f>
        <v>0</v>
      </c>
      <c r="AW24" s="28">
        <f>'FY21 Final Initial $$'!AW24/'FY21 FTE'!AW$120</f>
        <v>0</v>
      </c>
      <c r="AX24" s="28">
        <f>'FY21 Final Initial $$'!AX24/'FY21 FTE'!AX$120</f>
        <v>0</v>
      </c>
      <c r="AY24" s="28">
        <f>'FY21 Final Initial $$'!AY24/'FY21 FTE'!AY$120</f>
        <v>1</v>
      </c>
      <c r="AZ24" s="28">
        <f>'FY21 Final Initial $$'!AZ24/'FY21 FTE'!AZ$120</f>
        <v>5</v>
      </c>
      <c r="BA24" s="28">
        <f>'FY21 Final Initial $$'!BA24/'FY21 FTE'!BA$120</f>
        <v>23</v>
      </c>
      <c r="BB24" s="28">
        <f>'FY21 Final Initial $$'!BB24/'FY21 FTE'!BB$120</f>
        <v>1</v>
      </c>
      <c r="BC24" s="28">
        <f>'FY21 Final Initial $$'!BC24/'FY21 FTE'!BC$120</f>
        <v>0</v>
      </c>
      <c r="BD24" s="28">
        <f>'FY21 Final Initial $$'!BD24/'FY21 FTE'!BD$120</f>
        <v>0</v>
      </c>
      <c r="BE24" s="28">
        <f>'FY21 Final Initial $$'!BE24/'FY21 FTE'!BE$120</f>
        <v>28</v>
      </c>
      <c r="BF24" s="28">
        <f>'FY21 Final Initial $$'!BF24/'FY21 FTE'!BF$120</f>
        <v>2</v>
      </c>
      <c r="BG24" s="28">
        <f>'FY21 Final Initial $$'!BG24/'FY21 FTE'!BG$120</f>
        <v>6.7503344546742827</v>
      </c>
      <c r="BH24" s="28">
        <f>'FY21 Final Initial $$'!BH24/'FY21 FTE'!BH$120</f>
        <v>0</v>
      </c>
      <c r="BI24" s="28">
        <f>'FY21 Final Initial $$'!BI24/'FY21 FTE'!BI$120</f>
        <v>0</v>
      </c>
      <c r="BJ24" s="28">
        <f>'FY21 Final Initial $$'!BJ24/'FY21 FTE'!BJ$120</f>
        <v>0</v>
      </c>
      <c r="BK24" s="20">
        <v>85000</v>
      </c>
      <c r="BL24" s="20"/>
      <c r="BM24" s="20"/>
      <c r="BN24" s="20">
        <v>454483.8</v>
      </c>
      <c r="BO24" s="20">
        <v>7336.78</v>
      </c>
      <c r="BP24" s="20">
        <v>0</v>
      </c>
      <c r="BQ24" s="28">
        <f>'FY21 Final Initial $$'!BQ24/'FY21 FTE'!BQ$120</f>
        <v>0</v>
      </c>
      <c r="BR24" s="28">
        <f>'FY21 Final Initial $$'!BR24/'FY21 FTE'!BR$120</f>
        <v>0</v>
      </c>
      <c r="BS24" s="28">
        <f>'FY21 Final Initial $$'!BS24/'FY21 FTE'!BS$120</f>
        <v>0</v>
      </c>
      <c r="BT24" s="28">
        <f>'FY21 Final Initial $$'!BT24/'FY21 FTE'!BT$120</f>
        <v>0</v>
      </c>
      <c r="BU24" s="28">
        <f>'FY21 Final Initial $$'!BU24/'FY21 FTE'!BU$120</f>
        <v>0</v>
      </c>
      <c r="BV24" s="28">
        <f>'FY21 Final Initial $$'!BV24/'FY21 FTE'!BV$120</f>
        <v>0</v>
      </c>
      <c r="BW24" s="28">
        <f>'FY21 Final Initial $$'!BW24/'FY21 FTE'!BW$120</f>
        <v>0</v>
      </c>
      <c r="BX24" s="20">
        <v>0</v>
      </c>
      <c r="BY24" s="20">
        <v>0</v>
      </c>
      <c r="BZ24" s="20">
        <v>0</v>
      </c>
      <c r="CA24" s="20">
        <v>45000</v>
      </c>
      <c r="CB24" s="28">
        <f>'FY21 Final Initial $$'!CB24/'FY21 FTE'!CB$120</f>
        <v>0</v>
      </c>
      <c r="CC24" s="28">
        <f>'FY21 Final Initial $$'!CC24/'FY21 FTE'!CC$120</f>
        <v>0</v>
      </c>
      <c r="CD24" s="20">
        <v>55000</v>
      </c>
      <c r="CE24" s="28">
        <f>'FY21 Final Initial $$'!CE24/'FY21 FTE'!CE$120</f>
        <v>2</v>
      </c>
      <c r="CF24" s="28">
        <f>'FY21 Final Initial $$'!CF24/'FY21 FTE'!CF$120</f>
        <v>0</v>
      </c>
      <c r="CG24" s="28">
        <f>'FY21 Final Initial $$'!CG24/'FY21 FTE'!CG$120</f>
        <v>1</v>
      </c>
      <c r="CH24" s="28">
        <f>'FY21 Final Initial $$'!CH24/'FY21 FTE'!CH$120</f>
        <v>1</v>
      </c>
      <c r="CI24" s="28">
        <f>'FY21 Final Initial $$'!CI24/'FY21 FTE'!CI$120</f>
        <v>0</v>
      </c>
      <c r="CJ24" s="28">
        <f>'FY21 Final Initial $$'!CJ24/'FY21 FTE'!CJ$120</f>
        <v>0</v>
      </c>
      <c r="CK24" s="28">
        <f>'FY21 Final Initial $$'!CK24/'FY21 FTE'!CK$120</f>
        <v>3</v>
      </c>
      <c r="CL24" s="28">
        <f>'FY21 Final Initial $$'!CL24/'FY21 FTE'!CL$120</f>
        <v>0</v>
      </c>
      <c r="CM24" s="20">
        <v>23000</v>
      </c>
      <c r="CN24" s="20">
        <v>5000</v>
      </c>
      <c r="CO24" s="20">
        <v>676216</v>
      </c>
      <c r="CP24" s="20">
        <v>100000</v>
      </c>
      <c r="CQ24" s="28">
        <f>'FY21 Final Initial $$'!CQ24/'FY21 FTE'!CQ$120</f>
        <v>1</v>
      </c>
      <c r="CR24" s="20">
        <v>0</v>
      </c>
      <c r="CS24" s="20">
        <v>17320</v>
      </c>
      <c r="CT24" s="20">
        <v>316080</v>
      </c>
      <c r="CU24" s="20">
        <v>169030.86</v>
      </c>
      <c r="CV24" s="28">
        <f>'FY21 Final Initial $$'!CV24/'FY21 FTE'!CV$120</f>
        <v>1</v>
      </c>
      <c r="CW24" s="28">
        <f>'FY21 Final Initial $$'!CW24/'FY21 FTE'!CW$120</f>
        <v>0</v>
      </c>
      <c r="CX24" s="20">
        <v>0</v>
      </c>
      <c r="CY24" s="28">
        <f>'FY21 Final Initial $$'!CY24/'FY21 FTE'!CY$120</f>
        <v>0</v>
      </c>
      <c r="CZ24" s="20">
        <v>0</v>
      </c>
      <c r="DA24" s="20">
        <v>0</v>
      </c>
      <c r="DB24" s="20">
        <v>152000</v>
      </c>
      <c r="DC24" s="20">
        <v>295494.65009419987</v>
      </c>
      <c r="DD24" s="20">
        <v>0</v>
      </c>
      <c r="DE24" s="20">
        <v>360000</v>
      </c>
      <c r="DF24" s="20">
        <v>0</v>
      </c>
      <c r="DG24" s="20">
        <v>0</v>
      </c>
      <c r="DH24" s="28">
        <f>'FY21 Final Initial $$'!DH24/'FY21 FTE'!DH$120</f>
        <v>0</v>
      </c>
      <c r="DI24" s="20"/>
      <c r="DJ24" s="20">
        <v>67274.998605251312</v>
      </c>
      <c r="DK24" s="22">
        <v>0</v>
      </c>
      <c r="DL24" s="20">
        <v>0</v>
      </c>
      <c r="DM24" s="20">
        <v>0</v>
      </c>
      <c r="DN24" s="20">
        <v>21241855.696457673</v>
      </c>
      <c r="DO24" s="29">
        <f t="shared" si="1"/>
        <v>0</v>
      </c>
      <c r="DP24" s="29">
        <f t="shared" si="1"/>
        <v>0</v>
      </c>
      <c r="DQ24" s="29">
        <f t="shared" si="2"/>
        <v>65.599999999999994</v>
      </c>
      <c r="DR24" s="29">
        <f t="shared" si="3"/>
        <v>63.750334454674281</v>
      </c>
      <c r="DS24" s="29">
        <f t="shared" si="4"/>
        <v>3</v>
      </c>
    </row>
    <row r="25" spans="1:123" x14ac:dyDescent="0.25">
      <c r="A25" s="18">
        <v>455</v>
      </c>
      <c r="B25" t="s">
        <v>164</v>
      </c>
      <c r="C25" t="s">
        <v>138</v>
      </c>
      <c r="D25">
        <v>4</v>
      </c>
      <c r="E25">
        <v>557</v>
      </c>
      <c r="F25" s="19">
        <f t="shared" si="0"/>
        <v>0.59245960502692996</v>
      </c>
      <c r="G25">
        <v>330</v>
      </c>
      <c r="H25" s="28">
        <f>'FY21 Final Initial $$'!H25/'FY21 FTE'!H$120</f>
        <v>1</v>
      </c>
      <c r="I25" s="28">
        <f>'FY21 Final Initial $$'!I25/'FY21 FTE'!I$120</f>
        <v>1</v>
      </c>
      <c r="J25" s="28">
        <f>'FY21 Final Initial $$'!J25/'FY21 FTE'!J$120</f>
        <v>1.9</v>
      </c>
      <c r="K25" s="28">
        <f>'FY21 Final Initial $$'!K25/'FY21 FTE'!K$120</f>
        <v>0</v>
      </c>
      <c r="L25" s="28">
        <f>'FY21 Final Initial $$'!L25/'FY21 FTE'!L$120</f>
        <v>2.5</v>
      </c>
      <c r="M25" s="28">
        <f>'FY21 Final Initial $$'!M25/'FY21 FTE'!M$120</f>
        <v>1</v>
      </c>
      <c r="N25" s="28">
        <f>'FY21 Final Initial $$'!N25/'FY21 FTE'!N$120</f>
        <v>1</v>
      </c>
      <c r="O25" s="28">
        <f>'FY21 Final Initial $$'!O25/'FY21 FTE'!O$120</f>
        <v>1.4</v>
      </c>
      <c r="P25" s="28">
        <f>'FY21 Final Initial $$'!P25/'FY21 FTE'!P$120</f>
        <v>1</v>
      </c>
      <c r="Q25" s="28">
        <f>'FY21 Final Initial $$'!Q25/'FY21 FTE'!Q$120</f>
        <v>1.0000004487061702</v>
      </c>
      <c r="R25" s="28">
        <f>'FY21 Final Initial $$'!R25/'FY21 FTE'!R$120</f>
        <v>0</v>
      </c>
      <c r="S25" s="28">
        <f>'FY21 Final Initial $$'!S25/'FY21 FTE'!S$120</f>
        <v>1</v>
      </c>
      <c r="T25" s="28">
        <f>'FY21 Final Initial $$'!T25/'FY21 FTE'!T$120</f>
        <v>1</v>
      </c>
      <c r="U25" s="28">
        <f>'FY21 Final Initial $$'!U25/'FY21 FTE'!U$120</f>
        <v>8</v>
      </c>
      <c r="V25" s="28">
        <f>'FY21 Final Initial $$'!V25/'FY21 FTE'!V$120</f>
        <v>1</v>
      </c>
      <c r="W25" s="28">
        <f>'FY21 Final Initial $$'!W25/'FY21 FTE'!W$120</f>
        <v>0</v>
      </c>
      <c r="X25" s="28">
        <f>'FY21 Final Initial $$'!X25/'FY21 FTE'!X$120</f>
        <v>0</v>
      </c>
      <c r="Y25" s="28">
        <f>'FY21 Final Initial $$'!Y25/'FY21 FTE'!Y$120</f>
        <v>0</v>
      </c>
      <c r="Z25" s="28">
        <f>'FY21 Final Initial $$'!Z25/'FY21 FTE'!Z$120</f>
        <v>0</v>
      </c>
      <c r="AA25" s="28">
        <f>'FY21 Final Initial $$'!AA25/'FY21 FTE'!AA$120</f>
        <v>0</v>
      </c>
      <c r="AB25" s="28">
        <f>'FY21 Final Initial $$'!AB25/'FY21 FTE'!AB$120</f>
        <v>0</v>
      </c>
      <c r="AC25" s="28">
        <f>'FY21 Final Initial $$'!AC25/'FY21 FTE'!AC$120</f>
        <v>0</v>
      </c>
      <c r="AD25" s="28">
        <f>'FY21 Final Initial $$'!AD25/'FY21 FTE'!AD$120</f>
        <v>0</v>
      </c>
      <c r="AE25" s="28">
        <f>'FY21 Final Initial $$'!AE25/'FY21 FTE'!AE$120</f>
        <v>0</v>
      </c>
      <c r="AF25" s="28">
        <f>'FY21 Final Initial $$'!AF25/'FY21 FTE'!AF$120</f>
        <v>0</v>
      </c>
      <c r="AG25" s="28">
        <f>'FY21 Final Initial $$'!AG25/'FY21 FTE'!AG$120</f>
        <v>0</v>
      </c>
      <c r="AH25" s="28">
        <f>'FY21 Final Initial $$'!AH25/'FY21 FTE'!AH$120</f>
        <v>0</v>
      </c>
      <c r="AI25" s="28">
        <f>'FY21 Final Initial $$'!AI25/'FY21 FTE'!AI$120</f>
        <v>0</v>
      </c>
      <c r="AJ25" s="28">
        <f>'FY21 Final Initial $$'!AJ25/'FY21 FTE'!AJ$120</f>
        <v>0</v>
      </c>
      <c r="AK25" s="28">
        <f>'FY21 Final Initial $$'!AK25/'FY21 FTE'!AK$120</f>
        <v>0</v>
      </c>
      <c r="AL25" s="28">
        <f>'FY21 Final Initial $$'!AL25/'FY21 FTE'!AL$120</f>
        <v>0</v>
      </c>
      <c r="AM25" s="28">
        <f>'FY21 Final Initial $$'!AM25/'FY21 FTE'!AM$120</f>
        <v>0</v>
      </c>
      <c r="AN25" s="28">
        <f>'FY21 Final Initial $$'!AN25/'FY21 FTE'!AN$120</f>
        <v>0</v>
      </c>
      <c r="AO25" s="28">
        <f>'FY21 Final Initial $$'!AO25/'FY21 FTE'!AO$120</f>
        <v>0</v>
      </c>
      <c r="AP25" s="28">
        <f>'FY21 Final Initial $$'!AP25/'FY21 FTE'!AP$120</f>
        <v>0</v>
      </c>
      <c r="AQ25" s="28">
        <f>'FY21 Final Initial $$'!AQ25/'FY21 FTE'!AQ$120</f>
        <v>0</v>
      </c>
      <c r="AR25" s="28">
        <f>'FY21 Final Initial $$'!AR25/'FY21 FTE'!AR$120</f>
        <v>0</v>
      </c>
      <c r="AS25" s="28">
        <f>'FY21 Final Initial $$'!AS25/'FY21 FTE'!AS$120</f>
        <v>0</v>
      </c>
      <c r="AT25" s="28">
        <f>'FY21 Final Initial $$'!AT25/'FY21 FTE'!AT$120</f>
        <v>0</v>
      </c>
      <c r="AU25" s="28">
        <f>'FY21 Final Initial $$'!AU25/'FY21 FTE'!AU$120</f>
        <v>0</v>
      </c>
      <c r="AV25" s="28">
        <f>'FY21 Final Initial $$'!AV25/'FY21 FTE'!AV$120</f>
        <v>0</v>
      </c>
      <c r="AW25" s="28">
        <f>'FY21 Final Initial $$'!AW25/'FY21 FTE'!AW$120</f>
        <v>23.208333333333329</v>
      </c>
      <c r="AX25" s="28">
        <f>'FY21 Final Initial $$'!AX25/'FY21 FTE'!AX$120</f>
        <v>11.414151414169259</v>
      </c>
      <c r="AY25" s="28">
        <f>'FY21 Final Initial $$'!AY25/'FY21 FTE'!AY$120</f>
        <v>1</v>
      </c>
      <c r="AZ25" s="28">
        <f>'FY21 Final Initial $$'!AZ25/'FY21 FTE'!AZ$120</f>
        <v>3</v>
      </c>
      <c r="BA25" s="28">
        <f>'FY21 Final Initial $$'!BA25/'FY21 FTE'!BA$120</f>
        <v>11</v>
      </c>
      <c r="BB25" s="28">
        <f>'FY21 Final Initial $$'!BB25/'FY21 FTE'!BB$120</f>
        <v>5</v>
      </c>
      <c r="BC25" s="28">
        <f>'FY21 Final Initial $$'!BC25/'FY21 FTE'!BC$120</f>
        <v>2</v>
      </c>
      <c r="BD25" s="28">
        <f>'FY21 Final Initial $$'!BD25/'FY21 FTE'!BD$120</f>
        <v>0</v>
      </c>
      <c r="BE25" s="28">
        <f>'FY21 Final Initial $$'!BE25/'FY21 FTE'!BE$120</f>
        <v>6</v>
      </c>
      <c r="BF25" s="28">
        <f>'FY21 Final Initial $$'!BF25/'FY21 FTE'!BF$120</f>
        <v>1</v>
      </c>
      <c r="BG25" s="28">
        <f>'FY21 Final Initial $$'!BG25/'FY21 FTE'!BG$120</f>
        <v>1.1250557424457137</v>
      </c>
      <c r="BH25" s="28">
        <f>'FY21 Final Initial $$'!BH25/'FY21 FTE'!BH$120</f>
        <v>0</v>
      </c>
      <c r="BI25" s="28">
        <f>'FY21 Final Initial $$'!BI25/'FY21 FTE'!BI$120</f>
        <v>0</v>
      </c>
      <c r="BJ25" s="28">
        <f>'FY21 Final Initial $$'!BJ25/'FY21 FTE'!BJ$120</f>
        <v>0</v>
      </c>
      <c r="BK25" s="20">
        <v>65000</v>
      </c>
      <c r="BL25" s="20"/>
      <c r="BM25" s="20"/>
      <c r="BN25" s="20">
        <v>194761.91</v>
      </c>
      <c r="BO25" s="20">
        <v>3222.12</v>
      </c>
      <c r="BP25" s="20">
        <v>0</v>
      </c>
      <c r="BQ25" s="28">
        <f>'FY21 Final Initial $$'!BQ25/'FY21 FTE'!BQ$120</f>
        <v>0</v>
      </c>
      <c r="BR25" s="28">
        <f>'FY21 Final Initial $$'!BR25/'FY21 FTE'!BR$120</f>
        <v>0</v>
      </c>
      <c r="BS25" s="28">
        <f>'FY21 Final Initial $$'!BS25/'FY21 FTE'!BS$120</f>
        <v>0</v>
      </c>
      <c r="BT25" s="28">
        <f>'FY21 Final Initial $$'!BT25/'FY21 FTE'!BT$120</f>
        <v>0</v>
      </c>
      <c r="BU25" s="28">
        <f>'FY21 Final Initial $$'!BU25/'FY21 FTE'!BU$120</f>
        <v>0</v>
      </c>
      <c r="BV25" s="28">
        <f>'FY21 Final Initial $$'!BV25/'FY21 FTE'!BV$120</f>
        <v>0</v>
      </c>
      <c r="BW25" s="28">
        <f>'FY21 Final Initial $$'!BW25/'FY21 FTE'!BW$120</f>
        <v>1</v>
      </c>
      <c r="BX25" s="20">
        <v>6199.7800000000007</v>
      </c>
      <c r="BY25" s="20">
        <v>19000</v>
      </c>
      <c r="BZ25" s="20">
        <v>0</v>
      </c>
      <c r="CA25" s="20">
        <v>45000</v>
      </c>
      <c r="CB25" s="28">
        <f>'FY21 Final Initial $$'!CB25/'FY21 FTE'!CB$120</f>
        <v>0</v>
      </c>
      <c r="CC25" s="28">
        <f>'FY21 Final Initial $$'!CC25/'FY21 FTE'!CC$120</f>
        <v>0</v>
      </c>
      <c r="CD25" s="20">
        <v>41000</v>
      </c>
      <c r="CE25" s="28">
        <f>'FY21 Final Initial $$'!CE25/'FY21 FTE'!CE$120</f>
        <v>2</v>
      </c>
      <c r="CF25" s="28">
        <f>'FY21 Final Initial $$'!CF25/'FY21 FTE'!CF$120</f>
        <v>0</v>
      </c>
      <c r="CG25" s="28">
        <f>'FY21 Final Initial $$'!CG25/'FY21 FTE'!CG$120</f>
        <v>2</v>
      </c>
      <c r="CH25" s="28">
        <f>'FY21 Final Initial $$'!CH25/'FY21 FTE'!CH$120</f>
        <v>1</v>
      </c>
      <c r="CI25" s="28">
        <f>'FY21 Final Initial $$'!CI25/'FY21 FTE'!CI$120</f>
        <v>0</v>
      </c>
      <c r="CJ25" s="28">
        <f>'FY21 Final Initial $$'!CJ25/'FY21 FTE'!CJ$120</f>
        <v>0</v>
      </c>
      <c r="CK25" s="28">
        <f>'FY21 Final Initial $$'!CK25/'FY21 FTE'!CK$120</f>
        <v>0</v>
      </c>
      <c r="CL25" s="28">
        <f>'FY21 Final Initial $$'!CL25/'FY21 FTE'!CL$120</f>
        <v>0</v>
      </c>
      <c r="CM25" s="20">
        <v>0</v>
      </c>
      <c r="CN25" s="20">
        <v>0</v>
      </c>
      <c r="CO25" s="20">
        <v>376248.31999999995</v>
      </c>
      <c r="CP25" s="20">
        <v>0</v>
      </c>
      <c r="CQ25" s="28">
        <f>'FY21 Final Initial $$'!CQ25/'FY21 FTE'!CQ$120</f>
        <v>1</v>
      </c>
      <c r="CR25" s="20">
        <v>75000</v>
      </c>
      <c r="CS25" s="20">
        <v>6600</v>
      </c>
      <c r="CT25" s="20">
        <v>0</v>
      </c>
      <c r="CU25" s="20">
        <v>83833.419437037039</v>
      </c>
      <c r="CV25" s="28">
        <f>'FY21 Final Initial $$'!CV25/'FY21 FTE'!CV$120</f>
        <v>1</v>
      </c>
      <c r="CW25" s="28">
        <f>'FY21 Final Initial $$'!CW25/'FY21 FTE'!CW$120</f>
        <v>0</v>
      </c>
      <c r="CX25" s="20">
        <v>0</v>
      </c>
      <c r="CY25" s="28">
        <f>'FY21 Final Initial $$'!CY25/'FY21 FTE'!CY$120</f>
        <v>0</v>
      </c>
      <c r="CZ25" s="20">
        <v>0</v>
      </c>
      <c r="DA25" s="20">
        <v>0</v>
      </c>
      <c r="DB25" s="20">
        <v>55700</v>
      </c>
      <c r="DC25" s="20">
        <v>140086.01202371181</v>
      </c>
      <c r="DD25" s="20">
        <v>0</v>
      </c>
      <c r="DE25" s="20">
        <v>250000</v>
      </c>
      <c r="DF25" s="20">
        <v>0</v>
      </c>
      <c r="DG25" s="20">
        <v>0</v>
      </c>
      <c r="DH25" s="28">
        <f>'FY21 Final Initial $$'!DH25/'FY21 FTE'!DH$120</f>
        <v>0</v>
      </c>
      <c r="DI25" s="20"/>
      <c r="DJ25" s="20">
        <v>12100.000262260437</v>
      </c>
      <c r="DK25" s="22">
        <v>158753.32534440508</v>
      </c>
      <c r="DL25" s="20">
        <v>0</v>
      </c>
      <c r="DM25" s="20">
        <v>0</v>
      </c>
      <c r="DN25" s="20">
        <v>11002533.920871381</v>
      </c>
      <c r="DO25" s="29">
        <f t="shared" si="1"/>
        <v>0</v>
      </c>
      <c r="DP25" s="29">
        <f t="shared" si="1"/>
        <v>0</v>
      </c>
      <c r="DQ25" s="29">
        <f t="shared" si="2"/>
        <v>34.62248474750259</v>
      </c>
      <c r="DR25" s="29">
        <f t="shared" si="3"/>
        <v>22.125055742445713</v>
      </c>
      <c r="DS25" s="29">
        <f t="shared" si="4"/>
        <v>6</v>
      </c>
    </row>
    <row r="26" spans="1:123" x14ac:dyDescent="0.25">
      <c r="A26" s="18">
        <v>405</v>
      </c>
      <c r="B26" t="s">
        <v>165</v>
      </c>
      <c r="C26" t="s">
        <v>152</v>
      </c>
      <c r="D26">
        <v>3</v>
      </c>
      <c r="E26">
        <v>1510</v>
      </c>
      <c r="F26" s="19">
        <f t="shared" si="0"/>
        <v>9.6688741721854307E-2</v>
      </c>
      <c r="G26">
        <v>146</v>
      </c>
      <c r="H26" s="28">
        <f>'FY21 Final Initial $$'!H26/'FY21 FTE'!H$120</f>
        <v>1</v>
      </c>
      <c r="I26" s="28">
        <f>'FY21 Final Initial $$'!I26/'FY21 FTE'!I$120</f>
        <v>1</v>
      </c>
      <c r="J26" s="28">
        <f>'FY21 Final Initial $$'!J26/'FY21 FTE'!J$120</f>
        <v>5</v>
      </c>
      <c r="K26" s="28">
        <f>'FY21 Final Initial $$'!K26/'FY21 FTE'!K$120</f>
        <v>3.8</v>
      </c>
      <c r="L26" s="28">
        <f>'FY21 Final Initial $$'!L26/'FY21 FTE'!L$120</f>
        <v>0</v>
      </c>
      <c r="M26" s="28">
        <f>'FY21 Final Initial $$'!M26/'FY21 FTE'!M$120</f>
        <v>1</v>
      </c>
      <c r="N26" s="28">
        <f>'FY21 Final Initial $$'!N26/'FY21 FTE'!N$120</f>
        <v>1</v>
      </c>
      <c r="O26" s="28">
        <f>'FY21 Final Initial $$'!O26/'FY21 FTE'!O$120</f>
        <v>3.8</v>
      </c>
      <c r="P26" s="28">
        <f>'FY21 Final Initial $$'!P26/'FY21 FTE'!P$120</f>
        <v>0</v>
      </c>
      <c r="Q26" s="28">
        <f>'FY21 Final Initial $$'!Q26/'FY21 FTE'!Q$120</f>
        <v>0</v>
      </c>
      <c r="R26" s="28">
        <f>'FY21 Final Initial $$'!R26/'FY21 FTE'!R$120</f>
        <v>0</v>
      </c>
      <c r="S26" s="28">
        <f>'FY21 Final Initial $$'!S26/'FY21 FTE'!S$120</f>
        <v>1</v>
      </c>
      <c r="T26" s="28">
        <f>'FY21 Final Initial $$'!T26/'FY21 FTE'!T$120</f>
        <v>1</v>
      </c>
      <c r="U26" s="28">
        <f>'FY21 Final Initial $$'!U26/'FY21 FTE'!U$120</f>
        <v>7</v>
      </c>
      <c r="V26" s="28">
        <f>'FY21 Final Initial $$'!V26/'FY21 FTE'!V$120</f>
        <v>1</v>
      </c>
      <c r="W26" s="28">
        <f>'FY21 Final Initial $$'!W26/'FY21 FTE'!W$120</f>
        <v>0</v>
      </c>
      <c r="X26" s="28">
        <f>'FY21 Final Initial $$'!X26/'FY21 FTE'!X$120</f>
        <v>0</v>
      </c>
      <c r="Y26" s="28">
        <f>'FY21 Final Initial $$'!Y26/'FY21 FTE'!Y$120</f>
        <v>0</v>
      </c>
      <c r="Z26" s="28">
        <f>'FY21 Final Initial $$'!Z26/'FY21 FTE'!Z$120</f>
        <v>0</v>
      </c>
      <c r="AA26" s="28">
        <f>'FY21 Final Initial $$'!AA26/'FY21 FTE'!AA$120</f>
        <v>0</v>
      </c>
      <c r="AB26" s="28">
        <f>'FY21 Final Initial $$'!AB26/'FY21 FTE'!AB$120</f>
        <v>0</v>
      </c>
      <c r="AC26" s="28">
        <f>'FY21 Final Initial $$'!AC26/'FY21 FTE'!AC$120</f>
        <v>0</v>
      </c>
      <c r="AD26" s="28">
        <f>'FY21 Final Initial $$'!AD26/'FY21 FTE'!AD$120</f>
        <v>0</v>
      </c>
      <c r="AE26" s="28">
        <f>'FY21 Final Initial $$'!AE26/'FY21 FTE'!AE$120</f>
        <v>0</v>
      </c>
      <c r="AF26" s="28">
        <f>'FY21 Final Initial $$'!AF26/'FY21 FTE'!AF$120</f>
        <v>0</v>
      </c>
      <c r="AG26" s="28">
        <f>'FY21 Final Initial $$'!AG26/'FY21 FTE'!AG$120</f>
        <v>0</v>
      </c>
      <c r="AH26" s="28">
        <f>'FY21 Final Initial $$'!AH26/'FY21 FTE'!AH$120</f>
        <v>0</v>
      </c>
      <c r="AI26" s="28">
        <f>'FY21 Final Initial $$'!AI26/'FY21 FTE'!AI$120</f>
        <v>0</v>
      </c>
      <c r="AJ26" s="28">
        <f>'FY21 Final Initial $$'!AJ26/'FY21 FTE'!AJ$120</f>
        <v>0</v>
      </c>
      <c r="AK26" s="28">
        <f>'FY21 Final Initial $$'!AK26/'FY21 FTE'!AK$120</f>
        <v>0</v>
      </c>
      <c r="AL26" s="28">
        <f>'FY21 Final Initial $$'!AL26/'FY21 FTE'!AL$120</f>
        <v>0</v>
      </c>
      <c r="AM26" s="28">
        <f>'FY21 Final Initial $$'!AM26/'FY21 FTE'!AM$120</f>
        <v>0</v>
      </c>
      <c r="AN26" s="28">
        <f>'FY21 Final Initial $$'!AN26/'FY21 FTE'!AN$120</f>
        <v>0</v>
      </c>
      <c r="AO26" s="28">
        <f>'FY21 Final Initial $$'!AO26/'FY21 FTE'!AO$120</f>
        <v>24.1</v>
      </c>
      <c r="AP26" s="28">
        <f>'FY21 Final Initial $$'!AP26/'FY21 FTE'!AP$120</f>
        <v>22.5</v>
      </c>
      <c r="AQ26" s="28">
        <f>'FY21 Final Initial $$'!AQ26/'FY21 FTE'!AQ$120</f>
        <v>22</v>
      </c>
      <c r="AR26" s="28">
        <f>'FY21 Final Initial $$'!AR26/'FY21 FTE'!AR$120</f>
        <v>0</v>
      </c>
      <c r="AS26" s="28">
        <f>'FY21 Final Initial $$'!AS26/'FY21 FTE'!AS$120</f>
        <v>0</v>
      </c>
      <c r="AT26" s="28">
        <f>'FY21 Final Initial $$'!AT26/'FY21 FTE'!AT$120</f>
        <v>0</v>
      </c>
      <c r="AU26" s="28">
        <f>'FY21 Final Initial $$'!AU26/'FY21 FTE'!AU$120</f>
        <v>0</v>
      </c>
      <c r="AV26" s="28">
        <f>'FY21 Final Initial $$'!AV26/'FY21 FTE'!AV$120</f>
        <v>0</v>
      </c>
      <c r="AW26" s="28">
        <f>'FY21 Final Initial $$'!AW26/'FY21 FTE'!AW$120</f>
        <v>0</v>
      </c>
      <c r="AX26" s="28">
        <f>'FY21 Final Initial $$'!AX26/'FY21 FTE'!AX$120</f>
        <v>0</v>
      </c>
      <c r="AY26" s="28">
        <f>'FY21 Final Initial $$'!AY26/'FY21 FTE'!AY$120</f>
        <v>1</v>
      </c>
      <c r="AZ26" s="28">
        <f>'FY21 Final Initial $$'!AZ26/'FY21 FTE'!AZ$120</f>
        <v>3.5</v>
      </c>
      <c r="BA26" s="28">
        <f>'FY21 Final Initial $$'!BA26/'FY21 FTE'!BA$120</f>
        <v>17</v>
      </c>
      <c r="BB26" s="28">
        <f>'FY21 Final Initial $$'!BB26/'FY21 FTE'!BB$120</f>
        <v>3</v>
      </c>
      <c r="BC26" s="28">
        <f>'FY21 Final Initial $$'!BC26/'FY21 FTE'!BC$120</f>
        <v>0</v>
      </c>
      <c r="BD26" s="28">
        <f>'FY21 Final Initial $$'!BD26/'FY21 FTE'!BD$120</f>
        <v>1</v>
      </c>
      <c r="BE26" s="28">
        <f>'FY21 Final Initial $$'!BE26/'FY21 FTE'!BE$120</f>
        <v>5</v>
      </c>
      <c r="BF26" s="28">
        <f>'FY21 Final Initial $$'!BF26/'FY21 FTE'!BF$120</f>
        <v>0</v>
      </c>
      <c r="BG26" s="28">
        <f>'FY21 Final Initial $$'!BG26/'FY21 FTE'!BG$120</f>
        <v>1</v>
      </c>
      <c r="BH26" s="28">
        <f>'FY21 Final Initial $$'!BH26/'FY21 FTE'!BH$120</f>
        <v>0</v>
      </c>
      <c r="BI26" s="28">
        <f>'FY21 Final Initial $$'!BI26/'FY21 FTE'!BI$120</f>
        <v>0</v>
      </c>
      <c r="BJ26" s="28">
        <f>'FY21 Final Initial $$'!BJ26/'FY21 FTE'!BJ$120</f>
        <v>0</v>
      </c>
      <c r="BK26" s="20">
        <v>0</v>
      </c>
      <c r="BL26" s="20"/>
      <c r="BM26" s="20"/>
      <c r="BN26" s="20">
        <v>0</v>
      </c>
      <c r="BO26" s="20">
        <v>0</v>
      </c>
      <c r="BP26" s="20">
        <v>36450</v>
      </c>
      <c r="BQ26" s="28">
        <f>'FY21 Final Initial $$'!BQ26/'FY21 FTE'!BQ$120</f>
        <v>1</v>
      </c>
      <c r="BR26" s="28">
        <f>'FY21 Final Initial $$'!BR26/'FY21 FTE'!BR$120</f>
        <v>0</v>
      </c>
      <c r="BS26" s="28">
        <f>'FY21 Final Initial $$'!BS26/'FY21 FTE'!BS$120</f>
        <v>0</v>
      </c>
      <c r="BT26" s="28">
        <f>'FY21 Final Initial $$'!BT26/'FY21 FTE'!BT$120</f>
        <v>0</v>
      </c>
      <c r="BU26" s="28">
        <f>'FY21 Final Initial $$'!BU26/'FY21 FTE'!BU$120</f>
        <v>0</v>
      </c>
      <c r="BV26" s="28">
        <f>'FY21 Final Initial $$'!BV26/'FY21 FTE'!BV$120</f>
        <v>0</v>
      </c>
      <c r="BW26" s="28">
        <f>'FY21 Final Initial $$'!BW26/'FY21 FTE'!BW$120</f>
        <v>0</v>
      </c>
      <c r="BX26" s="20">
        <v>0</v>
      </c>
      <c r="BY26" s="20">
        <v>0</v>
      </c>
      <c r="BZ26" s="20">
        <v>0</v>
      </c>
      <c r="CA26" s="20">
        <v>0</v>
      </c>
      <c r="CB26" s="28">
        <f>'FY21 Final Initial $$'!CB26/'FY21 FTE'!CB$120</f>
        <v>0</v>
      </c>
      <c r="CC26" s="28">
        <f>'FY21 Final Initial $$'!CC26/'FY21 FTE'!CC$120</f>
        <v>0</v>
      </c>
      <c r="CD26" s="20">
        <v>0</v>
      </c>
      <c r="CE26" s="28">
        <f>'FY21 Final Initial $$'!CE26/'FY21 FTE'!CE$120</f>
        <v>0</v>
      </c>
      <c r="CF26" s="28">
        <f>'FY21 Final Initial $$'!CF26/'FY21 FTE'!CF$120</f>
        <v>0</v>
      </c>
      <c r="CG26" s="28">
        <f>'FY21 Final Initial $$'!CG26/'FY21 FTE'!CG$120</f>
        <v>0</v>
      </c>
      <c r="CH26" s="28">
        <f>'FY21 Final Initial $$'!CH26/'FY21 FTE'!CH$120</f>
        <v>0</v>
      </c>
      <c r="CI26" s="28">
        <f>'FY21 Final Initial $$'!CI26/'FY21 FTE'!CI$120</f>
        <v>0</v>
      </c>
      <c r="CJ26" s="28">
        <f>'FY21 Final Initial $$'!CJ26/'FY21 FTE'!CJ$120</f>
        <v>0</v>
      </c>
      <c r="CK26" s="28">
        <f>'FY21 Final Initial $$'!CK26/'FY21 FTE'!CK$120</f>
        <v>3</v>
      </c>
      <c r="CL26" s="28">
        <f>'FY21 Final Initial $$'!CL26/'FY21 FTE'!CL$120</f>
        <v>0</v>
      </c>
      <c r="CM26" s="20">
        <v>23000</v>
      </c>
      <c r="CN26" s="20">
        <v>5000</v>
      </c>
      <c r="CO26" s="20">
        <v>391452.31999999995</v>
      </c>
      <c r="CP26" s="20">
        <v>100000</v>
      </c>
      <c r="CQ26" s="28">
        <f>'FY21 Final Initial $$'!CQ26/'FY21 FTE'!CQ$120</f>
        <v>0</v>
      </c>
      <c r="CR26" s="20">
        <v>0</v>
      </c>
      <c r="CS26" s="20">
        <v>0</v>
      </c>
      <c r="CT26" s="20">
        <v>0</v>
      </c>
      <c r="CU26" s="20">
        <v>102223.19076433122</v>
      </c>
      <c r="CV26" s="28">
        <f>'FY21 Final Initial $$'!CV26/'FY21 FTE'!CV$120</f>
        <v>0</v>
      </c>
      <c r="CW26" s="28">
        <f>'FY21 Final Initial $$'!CW26/'FY21 FTE'!CW$120</f>
        <v>0</v>
      </c>
      <c r="CX26" s="20">
        <v>0</v>
      </c>
      <c r="CY26" s="28">
        <f>'FY21 Final Initial $$'!CY26/'FY21 FTE'!CY$120</f>
        <v>0</v>
      </c>
      <c r="CZ26" s="20">
        <v>0</v>
      </c>
      <c r="DA26" s="20">
        <v>0</v>
      </c>
      <c r="DB26" s="20">
        <v>151000</v>
      </c>
      <c r="DC26" s="20">
        <v>222543.35777376598</v>
      </c>
      <c r="DD26" s="20">
        <v>969825.32563792914</v>
      </c>
      <c r="DE26" s="20">
        <v>0</v>
      </c>
      <c r="DF26" s="20">
        <v>0</v>
      </c>
      <c r="DG26" s="20">
        <v>16387</v>
      </c>
      <c r="DH26" s="28">
        <f>'FY21 Final Initial $$'!DH26/'FY21 FTE'!DH$120</f>
        <v>0</v>
      </c>
      <c r="DI26" s="20"/>
      <c r="DJ26" s="20">
        <v>32174.999655783176</v>
      </c>
      <c r="DK26" s="22">
        <v>0</v>
      </c>
      <c r="DL26" s="20">
        <v>0</v>
      </c>
      <c r="DM26" s="20">
        <v>85000</v>
      </c>
      <c r="DN26" s="20">
        <v>15857624.9996558</v>
      </c>
      <c r="DO26" s="29">
        <f t="shared" si="1"/>
        <v>0</v>
      </c>
      <c r="DP26" s="29">
        <f t="shared" si="1"/>
        <v>0</v>
      </c>
      <c r="DQ26" s="29">
        <f t="shared" si="2"/>
        <v>68.599999999999994</v>
      </c>
      <c r="DR26" s="29">
        <f t="shared" si="3"/>
        <v>27.5</v>
      </c>
      <c r="DS26" s="29">
        <f t="shared" si="4"/>
        <v>3</v>
      </c>
    </row>
    <row r="27" spans="1:123" x14ac:dyDescent="0.25">
      <c r="A27" s="18">
        <v>349</v>
      </c>
      <c r="B27" t="s">
        <v>166</v>
      </c>
      <c r="C27" t="s">
        <v>135</v>
      </c>
      <c r="D27">
        <v>4</v>
      </c>
      <c r="E27">
        <v>492</v>
      </c>
      <c r="F27" s="19">
        <f t="shared" si="0"/>
        <v>0.40447154471544716</v>
      </c>
      <c r="G27">
        <v>199</v>
      </c>
      <c r="H27" s="28">
        <f>'FY21 Final Initial $$'!H27/'FY21 FTE'!H$120</f>
        <v>1</v>
      </c>
      <c r="I27" s="28">
        <f>'FY21 Final Initial $$'!I27/'FY21 FTE'!I$120</f>
        <v>1</v>
      </c>
      <c r="J27" s="28">
        <f>'FY21 Final Initial $$'!J27/'FY21 FTE'!J$120</f>
        <v>1.2</v>
      </c>
      <c r="K27" s="28">
        <f>'FY21 Final Initial $$'!K27/'FY21 FTE'!K$120</f>
        <v>0</v>
      </c>
      <c r="L27" s="28">
        <f>'FY21 Final Initial $$'!L27/'FY21 FTE'!L$120</f>
        <v>0</v>
      </c>
      <c r="M27" s="28">
        <f>'FY21 Final Initial $$'!M27/'FY21 FTE'!M$120</f>
        <v>1</v>
      </c>
      <c r="N27" s="28">
        <f>'FY21 Final Initial $$'!N27/'FY21 FTE'!N$120</f>
        <v>1</v>
      </c>
      <c r="O27" s="28">
        <f>'FY21 Final Initial $$'!O27/'FY21 FTE'!O$120</f>
        <v>1.2</v>
      </c>
      <c r="P27" s="28">
        <f>'FY21 Final Initial $$'!P27/'FY21 FTE'!P$120</f>
        <v>0</v>
      </c>
      <c r="Q27" s="28">
        <f>'FY21 Final Initial $$'!Q27/'FY21 FTE'!Q$120</f>
        <v>0</v>
      </c>
      <c r="R27" s="28">
        <f>'FY21 Final Initial $$'!R27/'FY21 FTE'!R$120</f>
        <v>0</v>
      </c>
      <c r="S27" s="28">
        <f>'FY21 Final Initial $$'!S27/'FY21 FTE'!S$120</f>
        <v>1</v>
      </c>
      <c r="T27" s="28">
        <f>'FY21 Final Initial $$'!T27/'FY21 FTE'!T$120</f>
        <v>1</v>
      </c>
      <c r="U27" s="28">
        <f>'FY21 Final Initial $$'!U27/'FY21 FTE'!U$120</f>
        <v>2</v>
      </c>
      <c r="V27" s="28">
        <f>'FY21 Final Initial $$'!V27/'FY21 FTE'!V$120</f>
        <v>1</v>
      </c>
      <c r="W27" s="28">
        <f>'FY21 Final Initial $$'!W27/'FY21 FTE'!W$120</f>
        <v>1</v>
      </c>
      <c r="X27" s="28">
        <f>'FY21 Final Initial $$'!X27/'FY21 FTE'!X$120</f>
        <v>1</v>
      </c>
      <c r="Y27" s="28">
        <f>'FY21 Final Initial $$'!Y27/'FY21 FTE'!Y$120</f>
        <v>1</v>
      </c>
      <c r="Z27" s="28">
        <f>'FY21 Final Initial $$'!Z27/'FY21 FTE'!Z$120</f>
        <v>1.5</v>
      </c>
      <c r="AA27" s="28">
        <f>'FY21 Final Initial $$'!AA27/'FY21 FTE'!AA$120</f>
        <v>0</v>
      </c>
      <c r="AB27" s="28">
        <f>'FY21 Final Initial $$'!AB27/'FY21 FTE'!AB$120</f>
        <v>4</v>
      </c>
      <c r="AC27" s="28">
        <f>'FY21 Final Initial $$'!AC27/'FY21 FTE'!AC$120</f>
        <v>4</v>
      </c>
      <c r="AD27" s="28">
        <f>'FY21 Final Initial $$'!AD27/'FY21 FTE'!AD$120</f>
        <v>0</v>
      </c>
      <c r="AE27" s="28">
        <f>'FY21 Final Initial $$'!AE27/'FY21 FTE'!AE$120</f>
        <v>0</v>
      </c>
      <c r="AF27" s="28">
        <f>'FY21 Final Initial $$'!AF27/'FY21 FTE'!AF$120</f>
        <v>5</v>
      </c>
      <c r="AG27" s="28">
        <f>'FY21 Final Initial $$'!AG27/'FY21 FTE'!AG$120</f>
        <v>5</v>
      </c>
      <c r="AH27" s="28">
        <f>'FY21 Final Initial $$'!AH27/'FY21 FTE'!AH$120</f>
        <v>4</v>
      </c>
      <c r="AI27" s="28">
        <f>'FY21 Final Initial $$'!AI27/'FY21 FTE'!AI$120</f>
        <v>4</v>
      </c>
      <c r="AJ27" s="28">
        <f>'FY21 Final Initial $$'!AJ27/'FY21 FTE'!AJ$120</f>
        <v>3</v>
      </c>
      <c r="AK27" s="28">
        <f>'FY21 Final Initial $$'!AK27/'FY21 FTE'!AK$120</f>
        <v>3</v>
      </c>
      <c r="AL27" s="28">
        <f>'FY21 Final Initial $$'!AL27/'FY21 FTE'!AL$120</f>
        <v>3</v>
      </c>
      <c r="AM27" s="28">
        <f>'FY21 Final Initial $$'!AM27/'FY21 FTE'!AM$120</f>
        <v>2</v>
      </c>
      <c r="AN27" s="28">
        <f>'FY21 Final Initial $$'!AN27/'FY21 FTE'!AN$120</f>
        <v>2.0000000000000027</v>
      </c>
      <c r="AO27" s="28">
        <f>'FY21 Final Initial $$'!AO27/'FY21 FTE'!AO$120</f>
        <v>0</v>
      </c>
      <c r="AP27" s="28">
        <f>'FY21 Final Initial $$'!AP27/'FY21 FTE'!AP$120</f>
        <v>0</v>
      </c>
      <c r="AQ27" s="28">
        <f>'FY21 Final Initial $$'!AQ27/'FY21 FTE'!AQ$120</f>
        <v>0</v>
      </c>
      <c r="AR27" s="28">
        <f>'FY21 Final Initial $$'!AR27/'FY21 FTE'!AR$120</f>
        <v>0</v>
      </c>
      <c r="AS27" s="28">
        <f>'FY21 Final Initial $$'!AS27/'FY21 FTE'!AS$120</f>
        <v>0</v>
      </c>
      <c r="AT27" s="28">
        <f>'FY21 Final Initial $$'!AT27/'FY21 FTE'!AT$120</f>
        <v>0</v>
      </c>
      <c r="AU27" s="28">
        <f>'FY21 Final Initial $$'!AU27/'FY21 FTE'!AU$120</f>
        <v>0</v>
      </c>
      <c r="AV27" s="28">
        <f>'FY21 Final Initial $$'!AV27/'FY21 FTE'!AV$120</f>
        <v>0</v>
      </c>
      <c r="AW27" s="28">
        <f>'FY21 Final Initial $$'!AW27/'FY21 FTE'!AW$120</f>
        <v>0</v>
      </c>
      <c r="AX27" s="28">
        <f>'FY21 Final Initial $$'!AX27/'FY21 FTE'!AX$120</f>
        <v>0</v>
      </c>
      <c r="AY27" s="28">
        <f>'FY21 Final Initial $$'!AY27/'FY21 FTE'!AY$120</f>
        <v>1</v>
      </c>
      <c r="AZ27" s="28">
        <f>'FY21 Final Initial $$'!AZ27/'FY21 FTE'!AZ$120</f>
        <v>1.5</v>
      </c>
      <c r="BA27" s="28">
        <f>'FY21 Final Initial $$'!BA27/'FY21 FTE'!BA$120</f>
        <v>8</v>
      </c>
      <c r="BB27" s="28">
        <f>'FY21 Final Initial $$'!BB27/'FY21 FTE'!BB$120</f>
        <v>6</v>
      </c>
      <c r="BC27" s="28">
        <f>'FY21 Final Initial $$'!BC27/'FY21 FTE'!BC$120</f>
        <v>0</v>
      </c>
      <c r="BD27" s="28">
        <f>'FY21 Final Initial $$'!BD27/'FY21 FTE'!BD$120</f>
        <v>0</v>
      </c>
      <c r="BE27" s="28">
        <f>'FY21 Final Initial $$'!BE27/'FY21 FTE'!BE$120</f>
        <v>12</v>
      </c>
      <c r="BF27" s="28">
        <f>'FY21 Final Initial $$'!BF27/'FY21 FTE'!BF$120</f>
        <v>0</v>
      </c>
      <c r="BG27" s="28">
        <f>'FY21 Final Initial $$'!BG27/'FY21 FTE'!BG$120</f>
        <v>2</v>
      </c>
      <c r="BH27" s="28">
        <f>'FY21 Final Initial $$'!BH27/'FY21 FTE'!BH$120</f>
        <v>0</v>
      </c>
      <c r="BI27" s="28">
        <f>'FY21 Final Initial $$'!BI27/'FY21 FTE'!BI$120</f>
        <v>0</v>
      </c>
      <c r="BJ27" s="28">
        <f>'FY21 Final Initial $$'!BJ27/'FY21 FTE'!BJ$120</f>
        <v>0</v>
      </c>
      <c r="BK27" s="20">
        <v>0</v>
      </c>
      <c r="BL27" s="20"/>
      <c r="BM27" s="20"/>
      <c r="BN27" s="20">
        <v>202859.23</v>
      </c>
      <c r="BO27" s="20">
        <v>3356.08</v>
      </c>
      <c r="BP27" s="20">
        <v>0</v>
      </c>
      <c r="BQ27" s="28">
        <f>'FY21 Final Initial $$'!BQ27/'FY21 FTE'!BQ$120</f>
        <v>0</v>
      </c>
      <c r="BR27" s="28">
        <f>'FY21 Final Initial $$'!BR27/'FY21 FTE'!BR$120</f>
        <v>0</v>
      </c>
      <c r="BS27" s="28">
        <f>'FY21 Final Initial $$'!BS27/'FY21 FTE'!BS$120</f>
        <v>0</v>
      </c>
      <c r="BT27" s="28">
        <f>'FY21 Final Initial $$'!BT27/'FY21 FTE'!BT$120</f>
        <v>0</v>
      </c>
      <c r="BU27" s="28">
        <f>'FY21 Final Initial $$'!BU27/'FY21 FTE'!BU$120</f>
        <v>0</v>
      </c>
      <c r="BV27" s="28">
        <f>'FY21 Final Initial $$'!BV27/'FY21 FTE'!BV$120</f>
        <v>0</v>
      </c>
      <c r="BW27" s="28">
        <f>'FY21 Final Initial $$'!BW27/'FY21 FTE'!BW$120</f>
        <v>0</v>
      </c>
      <c r="BX27" s="20">
        <v>0</v>
      </c>
      <c r="BY27" s="20">
        <v>0</v>
      </c>
      <c r="BZ27" s="20">
        <v>0</v>
      </c>
      <c r="CA27" s="20">
        <v>0</v>
      </c>
      <c r="CB27" s="28">
        <f>'FY21 Final Initial $$'!CB27/'FY21 FTE'!CB$120</f>
        <v>0</v>
      </c>
      <c r="CC27" s="28">
        <f>'FY21 Final Initial $$'!CC27/'FY21 FTE'!CC$120</f>
        <v>0</v>
      </c>
      <c r="CD27" s="20">
        <v>0</v>
      </c>
      <c r="CE27" s="28">
        <f>'FY21 Final Initial $$'!CE27/'FY21 FTE'!CE$120</f>
        <v>0</v>
      </c>
      <c r="CF27" s="28">
        <f>'FY21 Final Initial $$'!CF27/'FY21 FTE'!CF$120</f>
        <v>0</v>
      </c>
      <c r="CG27" s="28">
        <f>'FY21 Final Initial $$'!CG27/'FY21 FTE'!CG$120</f>
        <v>0</v>
      </c>
      <c r="CH27" s="28">
        <f>'FY21 Final Initial $$'!CH27/'FY21 FTE'!CH$120</f>
        <v>0</v>
      </c>
      <c r="CI27" s="28">
        <f>'FY21 Final Initial $$'!CI27/'FY21 FTE'!CI$120</f>
        <v>0</v>
      </c>
      <c r="CJ27" s="28">
        <f>'FY21 Final Initial $$'!CJ27/'FY21 FTE'!CJ$120</f>
        <v>0</v>
      </c>
      <c r="CK27" s="28">
        <f>'FY21 Final Initial $$'!CK27/'FY21 FTE'!CK$120</f>
        <v>0</v>
      </c>
      <c r="CL27" s="28">
        <f>'FY21 Final Initial $$'!CL27/'FY21 FTE'!CL$120</f>
        <v>0</v>
      </c>
      <c r="CM27" s="20">
        <v>0</v>
      </c>
      <c r="CN27" s="20">
        <v>0</v>
      </c>
      <c r="CO27" s="20">
        <v>111843.51999999999</v>
      </c>
      <c r="CP27" s="20">
        <v>0</v>
      </c>
      <c r="CQ27" s="28">
        <f>'FY21 Final Initial $$'!CQ27/'FY21 FTE'!CQ$120</f>
        <v>0</v>
      </c>
      <c r="CR27" s="20">
        <v>0</v>
      </c>
      <c r="CS27" s="20">
        <v>3980</v>
      </c>
      <c r="CT27" s="20">
        <v>372600</v>
      </c>
      <c r="CU27" s="20">
        <v>24849.670551181101</v>
      </c>
      <c r="CV27" s="28">
        <f>'FY21 Final Initial $$'!CV27/'FY21 FTE'!CV$120</f>
        <v>0</v>
      </c>
      <c r="CW27" s="28">
        <f>'FY21 Final Initial $$'!CW27/'FY21 FTE'!CW$120</f>
        <v>0</v>
      </c>
      <c r="CX27" s="20">
        <v>0</v>
      </c>
      <c r="CY27" s="28">
        <f>'FY21 Final Initial $$'!CY27/'FY21 FTE'!CY$120</f>
        <v>0</v>
      </c>
      <c r="CZ27" s="20">
        <v>0</v>
      </c>
      <c r="DA27" s="20">
        <v>0</v>
      </c>
      <c r="DB27" s="20">
        <v>49200</v>
      </c>
      <c r="DC27" s="20">
        <v>131113.03505769715</v>
      </c>
      <c r="DD27" s="20">
        <v>0</v>
      </c>
      <c r="DE27" s="20">
        <v>0</v>
      </c>
      <c r="DF27" s="20">
        <v>0</v>
      </c>
      <c r="DG27" s="20">
        <v>0</v>
      </c>
      <c r="DH27" s="28">
        <f>'FY21 Final Initial $$'!DH27/'FY21 FTE'!DH$120</f>
        <v>0</v>
      </c>
      <c r="DI27" s="20"/>
      <c r="DJ27" s="20">
        <v>15399.999803304672</v>
      </c>
      <c r="DK27" s="22">
        <v>0</v>
      </c>
      <c r="DL27" s="20">
        <v>0</v>
      </c>
      <c r="DM27" s="20">
        <v>0</v>
      </c>
      <c r="DN27" s="20">
        <v>8686268.3091821931</v>
      </c>
      <c r="DO27" s="29">
        <f t="shared" si="1"/>
        <v>13</v>
      </c>
      <c r="DP27" s="29">
        <f t="shared" si="1"/>
        <v>13</v>
      </c>
      <c r="DQ27" s="29">
        <f t="shared" si="2"/>
        <v>13.000000000000004</v>
      </c>
      <c r="DR27" s="29">
        <f t="shared" si="3"/>
        <v>24.5</v>
      </c>
      <c r="DS27" s="29">
        <f t="shared" si="4"/>
        <v>6</v>
      </c>
    </row>
    <row r="28" spans="1:123" x14ac:dyDescent="0.25">
      <c r="A28" s="18">
        <v>231</v>
      </c>
      <c r="B28" t="s">
        <v>167</v>
      </c>
      <c r="C28" t="s">
        <v>135</v>
      </c>
      <c r="D28">
        <v>7</v>
      </c>
      <c r="E28">
        <v>229</v>
      </c>
      <c r="F28" s="19">
        <f t="shared" si="0"/>
        <v>0.72052401746724892</v>
      </c>
      <c r="G28">
        <v>165</v>
      </c>
      <c r="H28" s="28">
        <f>'FY21 Final Initial $$'!H28/'FY21 FTE'!H$120</f>
        <v>1</v>
      </c>
      <c r="I28" s="28">
        <f>'FY21 Final Initial $$'!I28/'FY21 FTE'!I$120</f>
        <v>1</v>
      </c>
      <c r="J28" s="28">
        <f>'FY21 Final Initial $$'!J28/'FY21 FTE'!J$120</f>
        <v>0</v>
      </c>
      <c r="K28" s="28">
        <f>'FY21 Final Initial $$'!K28/'FY21 FTE'!K$120</f>
        <v>0</v>
      </c>
      <c r="L28" s="28">
        <f>'FY21 Final Initial $$'!L28/'FY21 FTE'!L$120</f>
        <v>0</v>
      </c>
      <c r="M28" s="28">
        <f>'FY21 Final Initial $$'!M28/'FY21 FTE'!M$120</f>
        <v>0.5</v>
      </c>
      <c r="N28" s="28">
        <f>'FY21 Final Initial $$'!N28/'FY21 FTE'!N$120</f>
        <v>1</v>
      </c>
      <c r="O28" s="28">
        <f>'FY21 Final Initial $$'!O28/'FY21 FTE'!O$120</f>
        <v>0</v>
      </c>
      <c r="P28" s="28">
        <f>'FY21 Final Initial $$'!P28/'FY21 FTE'!P$120</f>
        <v>0</v>
      </c>
      <c r="Q28" s="28">
        <f>'FY21 Final Initial $$'!Q28/'FY21 FTE'!Q$120</f>
        <v>0</v>
      </c>
      <c r="R28" s="28">
        <f>'FY21 Final Initial $$'!R28/'FY21 FTE'!R$120</f>
        <v>0</v>
      </c>
      <c r="S28" s="28">
        <f>'FY21 Final Initial $$'!S28/'FY21 FTE'!S$120</f>
        <v>1</v>
      </c>
      <c r="T28" s="28">
        <f>'FY21 Final Initial $$'!T28/'FY21 FTE'!T$120</f>
        <v>1</v>
      </c>
      <c r="U28" s="28">
        <f>'FY21 Final Initial $$'!U28/'FY21 FTE'!U$120</f>
        <v>1</v>
      </c>
      <c r="V28" s="28">
        <f>'FY21 Final Initial $$'!V28/'FY21 FTE'!V$120</f>
        <v>0.5</v>
      </c>
      <c r="W28" s="28">
        <f>'FY21 Final Initial $$'!W28/'FY21 FTE'!W$120</f>
        <v>1</v>
      </c>
      <c r="X28" s="28">
        <f>'FY21 Final Initial $$'!X28/'FY21 FTE'!X$120</f>
        <v>1</v>
      </c>
      <c r="Y28" s="28">
        <f>'FY21 Final Initial $$'!Y28/'FY21 FTE'!Y$120</f>
        <v>1</v>
      </c>
      <c r="Z28" s="28">
        <f>'FY21 Final Initial $$'!Z28/'FY21 FTE'!Z$120</f>
        <v>0</v>
      </c>
      <c r="AA28" s="28">
        <f>'FY21 Final Initial $$'!AA28/'FY21 FTE'!AA$120</f>
        <v>0</v>
      </c>
      <c r="AB28" s="28">
        <f>'FY21 Final Initial $$'!AB28/'FY21 FTE'!AB$120</f>
        <v>1</v>
      </c>
      <c r="AC28" s="28">
        <f>'FY21 Final Initial $$'!AC28/'FY21 FTE'!AC$120</f>
        <v>1</v>
      </c>
      <c r="AD28" s="28">
        <f>'FY21 Final Initial $$'!AD28/'FY21 FTE'!AD$120</f>
        <v>1</v>
      </c>
      <c r="AE28" s="28">
        <f>'FY21 Final Initial $$'!AE28/'FY21 FTE'!AE$120</f>
        <v>1</v>
      </c>
      <c r="AF28" s="28">
        <f>'FY21 Final Initial $$'!AF28/'FY21 FTE'!AF$120</f>
        <v>1</v>
      </c>
      <c r="AG28" s="28">
        <f>'FY21 Final Initial $$'!AG28/'FY21 FTE'!AG$120</f>
        <v>1</v>
      </c>
      <c r="AH28" s="28">
        <f>'FY21 Final Initial $$'!AH28/'FY21 FTE'!AH$120</f>
        <v>2</v>
      </c>
      <c r="AI28" s="28">
        <f>'FY21 Final Initial $$'!AI28/'FY21 FTE'!AI$120</f>
        <v>2</v>
      </c>
      <c r="AJ28" s="28">
        <f>'FY21 Final Initial $$'!AJ28/'FY21 FTE'!AJ$120</f>
        <v>2</v>
      </c>
      <c r="AK28" s="28">
        <f>'FY21 Final Initial $$'!AK28/'FY21 FTE'!AK$120</f>
        <v>2</v>
      </c>
      <c r="AL28" s="28">
        <f>'FY21 Final Initial $$'!AL28/'FY21 FTE'!AL$120</f>
        <v>2</v>
      </c>
      <c r="AM28" s="28">
        <f>'FY21 Final Initial $$'!AM28/'FY21 FTE'!AM$120</f>
        <v>1</v>
      </c>
      <c r="AN28" s="28">
        <f>'FY21 Final Initial $$'!AN28/'FY21 FTE'!AN$120</f>
        <v>1.0000000000000013</v>
      </c>
      <c r="AO28" s="28">
        <f>'FY21 Final Initial $$'!AO28/'FY21 FTE'!AO$120</f>
        <v>0</v>
      </c>
      <c r="AP28" s="28">
        <f>'FY21 Final Initial $$'!AP28/'FY21 FTE'!AP$120</f>
        <v>0</v>
      </c>
      <c r="AQ28" s="28">
        <f>'FY21 Final Initial $$'!AQ28/'FY21 FTE'!AQ$120</f>
        <v>0</v>
      </c>
      <c r="AR28" s="28">
        <f>'FY21 Final Initial $$'!AR28/'FY21 FTE'!AR$120</f>
        <v>0</v>
      </c>
      <c r="AS28" s="28">
        <f>'FY21 Final Initial $$'!AS28/'FY21 FTE'!AS$120</f>
        <v>0</v>
      </c>
      <c r="AT28" s="28">
        <f>'FY21 Final Initial $$'!AT28/'FY21 FTE'!AT$120</f>
        <v>0</v>
      </c>
      <c r="AU28" s="28">
        <f>'FY21 Final Initial $$'!AU28/'FY21 FTE'!AU$120</f>
        <v>0</v>
      </c>
      <c r="AV28" s="28">
        <f>'FY21 Final Initial $$'!AV28/'FY21 FTE'!AV$120</f>
        <v>0</v>
      </c>
      <c r="AW28" s="28">
        <f>'FY21 Final Initial $$'!AW28/'FY21 FTE'!AW$120</f>
        <v>0</v>
      </c>
      <c r="AX28" s="28">
        <f>'FY21 Final Initial $$'!AX28/'FY21 FTE'!AX$120</f>
        <v>0</v>
      </c>
      <c r="AY28" s="28">
        <f>'FY21 Final Initial $$'!AY28/'FY21 FTE'!AY$120</f>
        <v>1</v>
      </c>
      <c r="AZ28" s="28">
        <f>'FY21 Final Initial $$'!AZ28/'FY21 FTE'!AZ$120</f>
        <v>0.5</v>
      </c>
      <c r="BA28" s="28">
        <f>'FY21 Final Initial $$'!BA28/'FY21 FTE'!BA$120</f>
        <v>5</v>
      </c>
      <c r="BB28" s="28">
        <f>'FY21 Final Initial $$'!BB28/'FY21 FTE'!BB$120</f>
        <v>2</v>
      </c>
      <c r="BC28" s="28">
        <f>'FY21 Final Initial $$'!BC28/'FY21 FTE'!BC$120</f>
        <v>0</v>
      </c>
      <c r="BD28" s="28">
        <f>'FY21 Final Initial $$'!BD28/'FY21 FTE'!BD$120</f>
        <v>0</v>
      </c>
      <c r="BE28" s="28">
        <f>'FY21 Final Initial $$'!BE28/'FY21 FTE'!BE$120</f>
        <v>0.5</v>
      </c>
      <c r="BF28" s="28">
        <f>'FY21 Final Initial $$'!BF28/'FY21 FTE'!BF$120</f>
        <v>0</v>
      </c>
      <c r="BG28" s="28">
        <f>'FY21 Final Initial $$'!BG28/'FY21 FTE'!BG$120</f>
        <v>0</v>
      </c>
      <c r="BH28" s="28">
        <f>'FY21 Final Initial $$'!BH28/'FY21 FTE'!BH$120</f>
        <v>2</v>
      </c>
      <c r="BI28" s="28">
        <f>'FY21 Final Initial $$'!BI28/'FY21 FTE'!BI$120</f>
        <v>2</v>
      </c>
      <c r="BJ28" s="28">
        <f>'FY21 Final Initial $$'!BJ28/'FY21 FTE'!BJ$120</f>
        <v>1</v>
      </c>
      <c r="BK28" s="20">
        <v>0</v>
      </c>
      <c r="BL28" s="20"/>
      <c r="BM28" s="20"/>
      <c r="BN28" s="20">
        <v>99724.91</v>
      </c>
      <c r="BO28" s="20">
        <v>1649.84</v>
      </c>
      <c r="BP28" s="20">
        <v>0</v>
      </c>
      <c r="BQ28" s="28">
        <f>'FY21 Final Initial $$'!BQ28/'FY21 FTE'!BQ$120</f>
        <v>0</v>
      </c>
      <c r="BR28" s="28">
        <f>'FY21 Final Initial $$'!BR28/'FY21 FTE'!BR$120</f>
        <v>0</v>
      </c>
      <c r="BS28" s="28">
        <f>'FY21 Final Initial $$'!BS28/'FY21 FTE'!BS$120</f>
        <v>0</v>
      </c>
      <c r="BT28" s="28">
        <f>'FY21 Final Initial $$'!BT28/'FY21 FTE'!BT$120</f>
        <v>0</v>
      </c>
      <c r="BU28" s="28">
        <f>'FY21 Final Initial $$'!BU28/'FY21 FTE'!BU$120</f>
        <v>0</v>
      </c>
      <c r="BV28" s="28">
        <f>'FY21 Final Initial $$'!BV28/'FY21 FTE'!BV$120</f>
        <v>0</v>
      </c>
      <c r="BW28" s="28">
        <f>'FY21 Final Initial $$'!BW28/'FY21 FTE'!BW$120</f>
        <v>0</v>
      </c>
      <c r="BX28" s="20">
        <v>0</v>
      </c>
      <c r="BY28" s="20">
        <v>0</v>
      </c>
      <c r="BZ28" s="20">
        <v>0</v>
      </c>
      <c r="CA28" s="20">
        <v>0</v>
      </c>
      <c r="CB28" s="28">
        <f>'FY21 Final Initial $$'!CB28/'FY21 FTE'!CB$120</f>
        <v>0</v>
      </c>
      <c r="CC28" s="28">
        <f>'FY21 Final Initial $$'!CC28/'FY21 FTE'!CC$120</f>
        <v>0</v>
      </c>
      <c r="CD28" s="20">
        <v>0</v>
      </c>
      <c r="CE28" s="28">
        <f>'FY21 Final Initial $$'!CE28/'FY21 FTE'!CE$120</f>
        <v>0</v>
      </c>
      <c r="CF28" s="28">
        <f>'FY21 Final Initial $$'!CF28/'FY21 FTE'!CF$120</f>
        <v>0</v>
      </c>
      <c r="CG28" s="28">
        <f>'FY21 Final Initial $$'!CG28/'FY21 FTE'!CG$120</f>
        <v>0</v>
      </c>
      <c r="CH28" s="28">
        <f>'FY21 Final Initial $$'!CH28/'FY21 FTE'!CH$120</f>
        <v>0</v>
      </c>
      <c r="CI28" s="28">
        <f>'FY21 Final Initial $$'!CI28/'FY21 FTE'!CI$120</f>
        <v>0</v>
      </c>
      <c r="CJ28" s="28">
        <f>'FY21 Final Initial $$'!CJ28/'FY21 FTE'!CJ$120</f>
        <v>0</v>
      </c>
      <c r="CK28" s="28">
        <f>'FY21 Final Initial $$'!CK28/'FY21 FTE'!CK$120</f>
        <v>0</v>
      </c>
      <c r="CL28" s="28">
        <f>'FY21 Final Initial $$'!CL28/'FY21 FTE'!CL$120</f>
        <v>0</v>
      </c>
      <c r="CM28" s="20">
        <v>0</v>
      </c>
      <c r="CN28" s="20">
        <v>0</v>
      </c>
      <c r="CO28" s="20">
        <v>55921.759999999995</v>
      </c>
      <c r="CP28" s="20">
        <v>0</v>
      </c>
      <c r="CQ28" s="28">
        <f>'FY21 Final Initial $$'!CQ28/'FY21 FTE'!CQ$120</f>
        <v>0</v>
      </c>
      <c r="CR28" s="20">
        <v>0</v>
      </c>
      <c r="CS28" s="20">
        <v>3300</v>
      </c>
      <c r="CT28" s="20">
        <v>120960</v>
      </c>
      <c r="CU28" s="20">
        <v>13946.075000000001</v>
      </c>
      <c r="CV28" s="28">
        <f>'FY21 Final Initial $$'!CV28/'FY21 FTE'!CV$120</f>
        <v>0</v>
      </c>
      <c r="CW28" s="28">
        <f>'FY21 Final Initial $$'!CW28/'FY21 FTE'!CW$120</f>
        <v>0</v>
      </c>
      <c r="CX28" s="20">
        <v>0</v>
      </c>
      <c r="CY28" s="28">
        <f>'FY21 Final Initial $$'!CY28/'FY21 FTE'!CY$120</f>
        <v>0</v>
      </c>
      <c r="CZ28" s="20">
        <v>0</v>
      </c>
      <c r="DA28" s="20">
        <v>0</v>
      </c>
      <c r="DB28" s="20">
        <v>22900</v>
      </c>
      <c r="DC28" s="20">
        <v>57241.337946323772</v>
      </c>
      <c r="DD28" s="20">
        <v>0</v>
      </c>
      <c r="DE28" s="20">
        <v>0</v>
      </c>
      <c r="DF28" s="20">
        <v>13859</v>
      </c>
      <c r="DG28" s="20">
        <v>0</v>
      </c>
      <c r="DH28" s="28">
        <f>'FY21 Final Initial $$'!DH28/'FY21 FTE'!DH$120</f>
        <v>0</v>
      </c>
      <c r="DI28" s="20"/>
      <c r="DJ28" s="20">
        <v>17224.999617412686</v>
      </c>
      <c r="DK28" s="22">
        <v>0</v>
      </c>
      <c r="DL28" s="20">
        <v>0</v>
      </c>
      <c r="DM28" s="20">
        <v>125000</v>
      </c>
      <c r="DN28" s="20">
        <v>4034150.5279254601</v>
      </c>
      <c r="DO28" s="29">
        <f t="shared" si="1"/>
        <v>5</v>
      </c>
      <c r="DP28" s="29">
        <f t="shared" si="1"/>
        <v>5</v>
      </c>
      <c r="DQ28" s="29">
        <f t="shared" si="2"/>
        <v>8.0000000000000018</v>
      </c>
      <c r="DR28" s="29">
        <f t="shared" si="3"/>
        <v>7</v>
      </c>
      <c r="DS28" s="29">
        <f t="shared" si="4"/>
        <v>2</v>
      </c>
    </row>
    <row r="29" spans="1:123" x14ac:dyDescent="0.25">
      <c r="A29" s="18">
        <v>467</v>
      </c>
      <c r="B29" t="s">
        <v>168</v>
      </c>
      <c r="C29" t="s">
        <v>138</v>
      </c>
      <c r="D29">
        <v>5</v>
      </c>
      <c r="E29">
        <v>646</v>
      </c>
      <c r="F29" s="19">
        <f t="shared" si="0"/>
        <v>0.84520123839009287</v>
      </c>
      <c r="G29">
        <v>546</v>
      </c>
      <c r="H29" s="28">
        <f>'FY21 Final Initial $$'!H29/'FY21 FTE'!H$120</f>
        <v>1</v>
      </c>
      <c r="I29" s="28">
        <f>'FY21 Final Initial $$'!I29/'FY21 FTE'!I$120</f>
        <v>1</v>
      </c>
      <c r="J29" s="28">
        <f>'FY21 Final Initial $$'!J29/'FY21 FTE'!J$120</f>
        <v>2.2000000000000002</v>
      </c>
      <c r="K29" s="28">
        <f>'FY21 Final Initial $$'!K29/'FY21 FTE'!K$120</f>
        <v>0</v>
      </c>
      <c r="L29" s="28">
        <f>'FY21 Final Initial $$'!L29/'FY21 FTE'!L$120</f>
        <v>3.0000000000000004</v>
      </c>
      <c r="M29" s="28">
        <f>'FY21 Final Initial $$'!M29/'FY21 FTE'!M$120</f>
        <v>1</v>
      </c>
      <c r="N29" s="28">
        <f>'FY21 Final Initial $$'!N29/'FY21 FTE'!N$120</f>
        <v>1</v>
      </c>
      <c r="O29" s="28">
        <f>'FY21 Final Initial $$'!O29/'FY21 FTE'!O$120</f>
        <v>1.6</v>
      </c>
      <c r="P29" s="28">
        <f>'FY21 Final Initial $$'!P29/'FY21 FTE'!P$120</f>
        <v>1</v>
      </c>
      <c r="Q29" s="28">
        <f>'FY21 Final Initial $$'!Q29/'FY21 FTE'!Q$120</f>
        <v>1.0000004487061702</v>
      </c>
      <c r="R29" s="28">
        <f>'FY21 Final Initial $$'!R29/'FY21 FTE'!R$120</f>
        <v>0</v>
      </c>
      <c r="S29" s="28">
        <f>'FY21 Final Initial $$'!S29/'FY21 FTE'!S$120</f>
        <v>1</v>
      </c>
      <c r="T29" s="28">
        <f>'FY21 Final Initial $$'!T29/'FY21 FTE'!T$120</f>
        <v>1</v>
      </c>
      <c r="U29" s="28">
        <f>'FY21 Final Initial $$'!U29/'FY21 FTE'!U$120</f>
        <v>9</v>
      </c>
      <c r="V29" s="28">
        <f>'FY21 Final Initial $$'!V29/'FY21 FTE'!V$120</f>
        <v>1</v>
      </c>
      <c r="W29" s="28">
        <f>'FY21 Final Initial $$'!W29/'FY21 FTE'!W$120</f>
        <v>0</v>
      </c>
      <c r="X29" s="28">
        <f>'FY21 Final Initial $$'!X29/'FY21 FTE'!X$120</f>
        <v>0</v>
      </c>
      <c r="Y29" s="28">
        <f>'FY21 Final Initial $$'!Y29/'FY21 FTE'!Y$120</f>
        <v>0</v>
      </c>
      <c r="Z29" s="28">
        <f>'FY21 Final Initial $$'!Z29/'FY21 FTE'!Z$120</f>
        <v>0</v>
      </c>
      <c r="AA29" s="28">
        <f>'FY21 Final Initial $$'!AA29/'FY21 FTE'!AA$120</f>
        <v>0</v>
      </c>
      <c r="AB29" s="28">
        <f>'FY21 Final Initial $$'!AB29/'FY21 FTE'!AB$120</f>
        <v>0</v>
      </c>
      <c r="AC29" s="28">
        <f>'FY21 Final Initial $$'!AC29/'FY21 FTE'!AC$120</f>
        <v>0</v>
      </c>
      <c r="AD29" s="28">
        <f>'FY21 Final Initial $$'!AD29/'FY21 FTE'!AD$120</f>
        <v>0</v>
      </c>
      <c r="AE29" s="28">
        <f>'FY21 Final Initial $$'!AE29/'FY21 FTE'!AE$120</f>
        <v>0</v>
      </c>
      <c r="AF29" s="28">
        <f>'FY21 Final Initial $$'!AF29/'FY21 FTE'!AF$120</f>
        <v>0</v>
      </c>
      <c r="AG29" s="28">
        <f>'FY21 Final Initial $$'!AG29/'FY21 FTE'!AG$120</f>
        <v>0</v>
      </c>
      <c r="AH29" s="28">
        <f>'FY21 Final Initial $$'!AH29/'FY21 FTE'!AH$120</f>
        <v>0</v>
      </c>
      <c r="AI29" s="28">
        <f>'FY21 Final Initial $$'!AI29/'FY21 FTE'!AI$120</f>
        <v>0</v>
      </c>
      <c r="AJ29" s="28">
        <f>'FY21 Final Initial $$'!AJ29/'FY21 FTE'!AJ$120</f>
        <v>0</v>
      </c>
      <c r="AK29" s="28">
        <f>'FY21 Final Initial $$'!AK29/'FY21 FTE'!AK$120</f>
        <v>0</v>
      </c>
      <c r="AL29" s="28">
        <f>'FY21 Final Initial $$'!AL29/'FY21 FTE'!AL$120</f>
        <v>0</v>
      </c>
      <c r="AM29" s="28">
        <f>'FY21 Final Initial $$'!AM29/'FY21 FTE'!AM$120</f>
        <v>0</v>
      </c>
      <c r="AN29" s="28">
        <f>'FY21 Final Initial $$'!AN29/'FY21 FTE'!AN$120</f>
        <v>0</v>
      </c>
      <c r="AO29" s="28">
        <f>'FY21 Final Initial $$'!AO29/'FY21 FTE'!AO$120</f>
        <v>0</v>
      </c>
      <c r="AP29" s="28">
        <f>'FY21 Final Initial $$'!AP29/'FY21 FTE'!AP$120</f>
        <v>0</v>
      </c>
      <c r="AQ29" s="28">
        <f>'FY21 Final Initial $$'!AQ29/'FY21 FTE'!AQ$120</f>
        <v>0</v>
      </c>
      <c r="AR29" s="28">
        <f>'FY21 Final Initial $$'!AR29/'FY21 FTE'!AR$120</f>
        <v>0</v>
      </c>
      <c r="AS29" s="28">
        <f>'FY21 Final Initial $$'!AS29/'FY21 FTE'!AS$120</f>
        <v>0</v>
      </c>
      <c r="AT29" s="28">
        <f>'FY21 Final Initial $$'!AT29/'FY21 FTE'!AT$120</f>
        <v>0</v>
      </c>
      <c r="AU29" s="28">
        <f>'FY21 Final Initial $$'!AU29/'FY21 FTE'!AU$120</f>
        <v>0</v>
      </c>
      <c r="AV29" s="28">
        <f>'FY21 Final Initial $$'!AV29/'FY21 FTE'!AV$120</f>
        <v>0</v>
      </c>
      <c r="AW29" s="28">
        <f>'FY21 Final Initial $$'!AW29/'FY21 FTE'!AW$120</f>
        <v>26.916666666666668</v>
      </c>
      <c r="AX29" s="28">
        <f>'FY21 Final Initial $$'!AX29/'FY21 FTE'!AX$120</f>
        <v>7.3691805899171987</v>
      </c>
      <c r="AY29" s="28">
        <f>'FY21 Final Initial $$'!AY29/'FY21 FTE'!AY$120</f>
        <v>1</v>
      </c>
      <c r="AZ29" s="28">
        <f>'FY21 Final Initial $$'!AZ29/'FY21 FTE'!AZ$120</f>
        <v>3</v>
      </c>
      <c r="BA29" s="28">
        <f>'FY21 Final Initial $$'!BA29/'FY21 FTE'!BA$120</f>
        <v>13</v>
      </c>
      <c r="BB29" s="28">
        <f>'FY21 Final Initial $$'!BB29/'FY21 FTE'!BB$120</f>
        <v>5</v>
      </c>
      <c r="BC29" s="28">
        <f>'FY21 Final Initial $$'!BC29/'FY21 FTE'!BC$120</f>
        <v>1</v>
      </c>
      <c r="BD29" s="28">
        <f>'FY21 Final Initial $$'!BD29/'FY21 FTE'!BD$120</f>
        <v>0</v>
      </c>
      <c r="BE29" s="28">
        <f>'FY21 Final Initial $$'!BE29/'FY21 FTE'!BE$120</f>
        <v>1</v>
      </c>
      <c r="BF29" s="28">
        <f>'FY21 Final Initial $$'!BF29/'FY21 FTE'!BF$120</f>
        <v>0</v>
      </c>
      <c r="BG29" s="28">
        <f>'FY21 Final Initial $$'!BG29/'FY21 FTE'!BG$120</f>
        <v>0</v>
      </c>
      <c r="BH29" s="28">
        <f>'FY21 Final Initial $$'!BH29/'FY21 FTE'!BH$120</f>
        <v>0</v>
      </c>
      <c r="BI29" s="28">
        <f>'FY21 Final Initial $$'!BI29/'FY21 FTE'!BI$120</f>
        <v>0</v>
      </c>
      <c r="BJ29" s="28">
        <f>'FY21 Final Initial $$'!BJ29/'FY21 FTE'!BJ$120</f>
        <v>0</v>
      </c>
      <c r="BK29" s="20">
        <v>70000</v>
      </c>
      <c r="BL29" s="20"/>
      <c r="BM29" s="20"/>
      <c r="BN29" s="20">
        <v>276161.3</v>
      </c>
      <c r="BO29" s="20">
        <v>4568.78</v>
      </c>
      <c r="BP29" s="20">
        <v>0</v>
      </c>
      <c r="BQ29" s="28">
        <f>'FY21 Final Initial $$'!BQ29/'FY21 FTE'!BQ$120</f>
        <v>0</v>
      </c>
      <c r="BR29" s="28">
        <f>'FY21 Final Initial $$'!BR29/'FY21 FTE'!BR$120</f>
        <v>0</v>
      </c>
      <c r="BS29" s="28">
        <f>'FY21 Final Initial $$'!BS29/'FY21 FTE'!BS$120</f>
        <v>0</v>
      </c>
      <c r="BT29" s="28">
        <f>'FY21 Final Initial $$'!BT29/'FY21 FTE'!BT$120</f>
        <v>0</v>
      </c>
      <c r="BU29" s="28">
        <f>'FY21 Final Initial $$'!BU29/'FY21 FTE'!BU$120</f>
        <v>0</v>
      </c>
      <c r="BV29" s="28">
        <f>'FY21 Final Initial $$'!BV29/'FY21 FTE'!BV$120</f>
        <v>0</v>
      </c>
      <c r="BW29" s="28">
        <f>'FY21 Final Initial $$'!BW29/'FY21 FTE'!BW$120</f>
        <v>1</v>
      </c>
      <c r="BX29" s="20">
        <v>6199.7800000000007</v>
      </c>
      <c r="BY29" s="20">
        <v>29000</v>
      </c>
      <c r="BZ29" s="20">
        <v>0</v>
      </c>
      <c r="CA29" s="20">
        <v>45000</v>
      </c>
      <c r="CB29" s="28">
        <f>'FY21 Final Initial $$'!CB29/'FY21 FTE'!CB$120</f>
        <v>0</v>
      </c>
      <c r="CC29" s="28">
        <f>'FY21 Final Initial $$'!CC29/'FY21 FTE'!CC$120</f>
        <v>0</v>
      </c>
      <c r="CD29" s="20">
        <v>44000</v>
      </c>
      <c r="CE29" s="28">
        <f>'FY21 Final Initial $$'!CE29/'FY21 FTE'!CE$120</f>
        <v>2</v>
      </c>
      <c r="CF29" s="28">
        <f>'FY21 Final Initial $$'!CF29/'FY21 FTE'!CF$120</f>
        <v>0</v>
      </c>
      <c r="CG29" s="28">
        <f>'FY21 Final Initial $$'!CG29/'FY21 FTE'!CG$120</f>
        <v>1</v>
      </c>
      <c r="CH29" s="28">
        <f>'FY21 Final Initial $$'!CH29/'FY21 FTE'!CH$120</f>
        <v>1</v>
      </c>
      <c r="CI29" s="28">
        <f>'FY21 Final Initial $$'!CI29/'FY21 FTE'!CI$120</f>
        <v>0</v>
      </c>
      <c r="CJ29" s="28">
        <f>'FY21 Final Initial $$'!CJ29/'FY21 FTE'!CJ$120</f>
        <v>1</v>
      </c>
      <c r="CK29" s="28">
        <f>'FY21 Final Initial $$'!CK29/'FY21 FTE'!CK$120</f>
        <v>0</v>
      </c>
      <c r="CL29" s="28">
        <f>'FY21 Final Initial $$'!CL29/'FY21 FTE'!CL$120</f>
        <v>0</v>
      </c>
      <c r="CM29" s="20">
        <v>0</v>
      </c>
      <c r="CN29" s="20">
        <v>0</v>
      </c>
      <c r="CO29" s="20">
        <v>488091.83999999997</v>
      </c>
      <c r="CP29" s="20">
        <v>0</v>
      </c>
      <c r="CQ29" s="28">
        <f>'FY21 Final Initial $$'!CQ29/'FY21 FTE'!CQ$120</f>
        <v>1</v>
      </c>
      <c r="CR29" s="20">
        <v>0</v>
      </c>
      <c r="CS29" s="20">
        <v>21840</v>
      </c>
      <c r="CT29" s="20">
        <v>0</v>
      </c>
      <c r="CU29" s="20">
        <v>90166.698378854635</v>
      </c>
      <c r="CV29" s="28">
        <f>'FY21 Final Initial $$'!CV29/'FY21 FTE'!CV$120</f>
        <v>1</v>
      </c>
      <c r="CW29" s="28">
        <f>'FY21 Final Initial $$'!CW29/'FY21 FTE'!CW$120</f>
        <v>0</v>
      </c>
      <c r="CX29" s="20">
        <v>0</v>
      </c>
      <c r="CY29" s="28">
        <f>'FY21 Final Initial $$'!CY29/'FY21 FTE'!CY$120</f>
        <v>0</v>
      </c>
      <c r="CZ29" s="20">
        <v>5000</v>
      </c>
      <c r="DA29" s="20">
        <v>113945.66</v>
      </c>
      <c r="DB29" s="20">
        <v>64600</v>
      </c>
      <c r="DC29" s="20">
        <v>133442.82609149918</v>
      </c>
      <c r="DD29" s="20">
        <v>0</v>
      </c>
      <c r="DE29" s="20">
        <v>0</v>
      </c>
      <c r="DF29" s="20">
        <v>0</v>
      </c>
      <c r="DG29" s="20">
        <v>0</v>
      </c>
      <c r="DH29" s="28">
        <f>'FY21 Final Initial $$'!DH29/'FY21 FTE'!DH$120</f>
        <v>0</v>
      </c>
      <c r="DI29" s="20"/>
      <c r="DJ29" s="20">
        <v>52125.000016763806</v>
      </c>
      <c r="DK29" s="22">
        <v>0</v>
      </c>
      <c r="DL29" s="20">
        <v>121537.10783344973</v>
      </c>
      <c r="DM29" s="20">
        <v>0</v>
      </c>
      <c r="DN29" s="20">
        <v>10596907.325897887</v>
      </c>
      <c r="DO29" s="29">
        <f t="shared" si="1"/>
        <v>0</v>
      </c>
      <c r="DP29" s="29">
        <f t="shared" si="1"/>
        <v>0</v>
      </c>
      <c r="DQ29" s="29">
        <f t="shared" si="2"/>
        <v>34.285847256583864</v>
      </c>
      <c r="DR29" s="29">
        <f t="shared" si="3"/>
        <v>18</v>
      </c>
      <c r="DS29" s="29">
        <f t="shared" si="4"/>
        <v>5</v>
      </c>
    </row>
    <row r="30" spans="1:123" x14ac:dyDescent="0.25">
      <c r="A30" s="18">
        <v>457</v>
      </c>
      <c r="B30" t="s">
        <v>169</v>
      </c>
      <c r="C30" t="s">
        <v>138</v>
      </c>
      <c r="D30">
        <v>6</v>
      </c>
      <c r="E30">
        <v>802</v>
      </c>
      <c r="F30" s="19">
        <f t="shared" si="0"/>
        <v>0.67206982543640903</v>
      </c>
      <c r="G30">
        <v>539</v>
      </c>
      <c r="H30" s="28">
        <f>'FY21 Final Initial $$'!H30/'FY21 FTE'!H$120</f>
        <v>1</v>
      </c>
      <c r="I30" s="28">
        <f>'FY21 Final Initial $$'!I30/'FY21 FTE'!I$120</f>
        <v>1</v>
      </c>
      <c r="J30" s="28">
        <f>'FY21 Final Initial $$'!J30/'FY21 FTE'!J$120</f>
        <v>2.7</v>
      </c>
      <c r="K30" s="28">
        <f>'FY21 Final Initial $$'!K30/'FY21 FTE'!K$120</f>
        <v>0</v>
      </c>
      <c r="L30" s="28">
        <f>'FY21 Final Initial $$'!L30/'FY21 FTE'!L$120</f>
        <v>3.5</v>
      </c>
      <c r="M30" s="28">
        <f>'FY21 Final Initial $$'!M30/'FY21 FTE'!M$120</f>
        <v>1</v>
      </c>
      <c r="N30" s="28">
        <f>'FY21 Final Initial $$'!N30/'FY21 FTE'!N$120</f>
        <v>1</v>
      </c>
      <c r="O30" s="28">
        <f>'FY21 Final Initial $$'!O30/'FY21 FTE'!O$120</f>
        <v>2</v>
      </c>
      <c r="P30" s="28">
        <f>'FY21 Final Initial $$'!P30/'FY21 FTE'!P$120</f>
        <v>1</v>
      </c>
      <c r="Q30" s="28">
        <f>'FY21 Final Initial $$'!Q30/'FY21 FTE'!Q$120</f>
        <v>1.0000004487061702</v>
      </c>
      <c r="R30" s="28">
        <f>'FY21 Final Initial $$'!R30/'FY21 FTE'!R$120</f>
        <v>0</v>
      </c>
      <c r="S30" s="28">
        <f>'FY21 Final Initial $$'!S30/'FY21 FTE'!S$120</f>
        <v>1</v>
      </c>
      <c r="T30" s="28">
        <f>'FY21 Final Initial $$'!T30/'FY21 FTE'!T$120</f>
        <v>1</v>
      </c>
      <c r="U30" s="28">
        <f>'FY21 Final Initial $$'!U30/'FY21 FTE'!U$120</f>
        <v>8</v>
      </c>
      <c r="V30" s="28">
        <f>'FY21 Final Initial $$'!V30/'FY21 FTE'!V$120</f>
        <v>1</v>
      </c>
      <c r="W30" s="28">
        <f>'FY21 Final Initial $$'!W30/'FY21 FTE'!W$120</f>
        <v>0</v>
      </c>
      <c r="X30" s="28">
        <f>'FY21 Final Initial $$'!X30/'FY21 FTE'!X$120</f>
        <v>0</v>
      </c>
      <c r="Y30" s="28">
        <f>'FY21 Final Initial $$'!Y30/'FY21 FTE'!Y$120</f>
        <v>0</v>
      </c>
      <c r="Z30" s="28">
        <f>'FY21 Final Initial $$'!Z30/'FY21 FTE'!Z$120</f>
        <v>0</v>
      </c>
      <c r="AA30" s="28">
        <f>'FY21 Final Initial $$'!AA30/'FY21 FTE'!AA$120</f>
        <v>0</v>
      </c>
      <c r="AB30" s="28">
        <f>'FY21 Final Initial $$'!AB30/'FY21 FTE'!AB$120</f>
        <v>0</v>
      </c>
      <c r="AC30" s="28">
        <f>'FY21 Final Initial $$'!AC30/'FY21 FTE'!AC$120</f>
        <v>0</v>
      </c>
      <c r="AD30" s="28">
        <f>'FY21 Final Initial $$'!AD30/'FY21 FTE'!AD$120</f>
        <v>0</v>
      </c>
      <c r="AE30" s="28">
        <f>'FY21 Final Initial $$'!AE30/'FY21 FTE'!AE$120</f>
        <v>0</v>
      </c>
      <c r="AF30" s="28">
        <f>'FY21 Final Initial $$'!AF30/'FY21 FTE'!AF$120</f>
        <v>0</v>
      </c>
      <c r="AG30" s="28">
        <f>'FY21 Final Initial $$'!AG30/'FY21 FTE'!AG$120</f>
        <v>0</v>
      </c>
      <c r="AH30" s="28">
        <f>'FY21 Final Initial $$'!AH30/'FY21 FTE'!AH$120</f>
        <v>0</v>
      </c>
      <c r="AI30" s="28">
        <f>'FY21 Final Initial $$'!AI30/'FY21 FTE'!AI$120</f>
        <v>0</v>
      </c>
      <c r="AJ30" s="28">
        <f>'FY21 Final Initial $$'!AJ30/'FY21 FTE'!AJ$120</f>
        <v>0</v>
      </c>
      <c r="AK30" s="28">
        <f>'FY21 Final Initial $$'!AK30/'FY21 FTE'!AK$120</f>
        <v>0</v>
      </c>
      <c r="AL30" s="28">
        <f>'FY21 Final Initial $$'!AL30/'FY21 FTE'!AL$120</f>
        <v>0</v>
      </c>
      <c r="AM30" s="28">
        <f>'FY21 Final Initial $$'!AM30/'FY21 FTE'!AM$120</f>
        <v>0</v>
      </c>
      <c r="AN30" s="28">
        <f>'FY21 Final Initial $$'!AN30/'FY21 FTE'!AN$120</f>
        <v>0</v>
      </c>
      <c r="AO30" s="28">
        <f>'FY21 Final Initial $$'!AO30/'FY21 FTE'!AO$120</f>
        <v>0</v>
      </c>
      <c r="AP30" s="28">
        <f>'FY21 Final Initial $$'!AP30/'FY21 FTE'!AP$120</f>
        <v>0</v>
      </c>
      <c r="AQ30" s="28">
        <f>'FY21 Final Initial $$'!AQ30/'FY21 FTE'!AQ$120</f>
        <v>0</v>
      </c>
      <c r="AR30" s="28">
        <f>'FY21 Final Initial $$'!AR30/'FY21 FTE'!AR$120</f>
        <v>0</v>
      </c>
      <c r="AS30" s="28">
        <f>'FY21 Final Initial $$'!AS30/'FY21 FTE'!AS$120</f>
        <v>0</v>
      </c>
      <c r="AT30" s="28">
        <f>'FY21 Final Initial $$'!AT30/'FY21 FTE'!AT$120</f>
        <v>0</v>
      </c>
      <c r="AU30" s="28">
        <f>'FY21 Final Initial $$'!AU30/'FY21 FTE'!AU$120</f>
        <v>0</v>
      </c>
      <c r="AV30" s="28">
        <f>'FY21 Final Initial $$'!AV30/'FY21 FTE'!AV$120</f>
        <v>0</v>
      </c>
      <c r="AW30" s="28">
        <f>'FY21 Final Initial $$'!AW30/'FY21 FTE'!AW$120</f>
        <v>33.416666666666664</v>
      </c>
      <c r="AX30" s="28">
        <f>'FY21 Final Initial $$'!AX30/'FY21 FTE'!AX$120</f>
        <v>6.1662066847421979</v>
      </c>
      <c r="AY30" s="28">
        <f>'FY21 Final Initial $$'!AY30/'FY21 FTE'!AY$120</f>
        <v>1.5</v>
      </c>
      <c r="AZ30" s="28">
        <f>'FY21 Final Initial $$'!AZ30/'FY21 FTE'!AZ$120</f>
        <v>5</v>
      </c>
      <c r="BA30" s="28">
        <f>'FY21 Final Initial $$'!BA30/'FY21 FTE'!BA$120</f>
        <v>21</v>
      </c>
      <c r="BB30" s="28">
        <f>'FY21 Final Initial $$'!BB30/'FY21 FTE'!BB$120</f>
        <v>10</v>
      </c>
      <c r="BC30" s="28">
        <f>'FY21 Final Initial $$'!BC30/'FY21 FTE'!BC$120</f>
        <v>1</v>
      </c>
      <c r="BD30" s="28">
        <f>'FY21 Final Initial $$'!BD30/'FY21 FTE'!BD$120</f>
        <v>0</v>
      </c>
      <c r="BE30" s="28">
        <f>'FY21 Final Initial $$'!BE30/'FY21 FTE'!BE$120</f>
        <v>2</v>
      </c>
      <c r="BF30" s="28">
        <f>'FY21 Final Initial $$'!BF30/'FY21 FTE'!BF$120</f>
        <v>0</v>
      </c>
      <c r="BG30" s="28">
        <f>'FY21 Final Initial $$'!BG30/'FY21 FTE'!BG$120</f>
        <v>0</v>
      </c>
      <c r="BH30" s="28">
        <f>'FY21 Final Initial $$'!BH30/'FY21 FTE'!BH$120</f>
        <v>0</v>
      </c>
      <c r="BI30" s="28">
        <f>'FY21 Final Initial $$'!BI30/'FY21 FTE'!BI$120</f>
        <v>0</v>
      </c>
      <c r="BJ30" s="28">
        <f>'FY21 Final Initial $$'!BJ30/'FY21 FTE'!BJ$120</f>
        <v>0</v>
      </c>
      <c r="BK30" s="20">
        <v>65000</v>
      </c>
      <c r="BL30" s="20"/>
      <c r="BM30" s="20"/>
      <c r="BN30" s="20">
        <v>337530.48</v>
      </c>
      <c r="BO30" s="20">
        <v>5584.07</v>
      </c>
      <c r="BP30" s="20">
        <v>0</v>
      </c>
      <c r="BQ30" s="28">
        <f>'FY21 Final Initial $$'!BQ30/'FY21 FTE'!BQ$120</f>
        <v>1</v>
      </c>
      <c r="BR30" s="28">
        <f>'FY21 Final Initial $$'!BR30/'FY21 FTE'!BR$120</f>
        <v>0</v>
      </c>
      <c r="BS30" s="28">
        <f>'FY21 Final Initial $$'!BS30/'FY21 FTE'!BS$120</f>
        <v>0</v>
      </c>
      <c r="BT30" s="28">
        <f>'FY21 Final Initial $$'!BT30/'FY21 FTE'!BT$120</f>
        <v>1</v>
      </c>
      <c r="BU30" s="28">
        <f>'FY21 Final Initial $$'!BU30/'FY21 FTE'!BU$120</f>
        <v>0</v>
      </c>
      <c r="BV30" s="28">
        <f>'FY21 Final Initial $$'!BV30/'FY21 FTE'!BV$120</f>
        <v>0</v>
      </c>
      <c r="BW30" s="28">
        <f>'FY21 Final Initial $$'!BW30/'FY21 FTE'!BW$120</f>
        <v>1</v>
      </c>
      <c r="BX30" s="20">
        <v>26199.78</v>
      </c>
      <c r="BY30" s="20">
        <v>19000</v>
      </c>
      <c r="BZ30" s="20">
        <v>0</v>
      </c>
      <c r="CA30" s="20">
        <v>26143.25</v>
      </c>
      <c r="CB30" s="28">
        <f>'FY21 Final Initial $$'!CB30/'FY21 FTE'!CB$120</f>
        <v>0</v>
      </c>
      <c r="CC30" s="28">
        <f>'FY21 Final Initial $$'!CC30/'FY21 FTE'!CC$120</f>
        <v>1.0288003274477517</v>
      </c>
      <c r="CD30" s="20">
        <v>44000</v>
      </c>
      <c r="CE30" s="28">
        <f>'FY21 Final Initial $$'!CE30/'FY21 FTE'!CE$120</f>
        <v>2</v>
      </c>
      <c r="CF30" s="28">
        <f>'FY21 Final Initial $$'!CF30/'FY21 FTE'!CF$120</f>
        <v>0</v>
      </c>
      <c r="CG30" s="28">
        <f>'FY21 Final Initial $$'!CG30/'FY21 FTE'!CG$120</f>
        <v>1</v>
      </c>
      <c r="CH30" s="28">
        <f>'FY21 Final Initial $$'!CH30/'FY21 FTE'!CH$120</f>
        <v>0</v>
      </c>
      <c r="CI30" s="28">
        <f>'FY21 Final Initial $$'!CI30/'FY21 FTE'!CI$120</f>
        <v>0</v>
      </c>
      <c r="CJ30" s="28">
        <f>'FY21 Final Initial $$'!CJ30/'FY21 FTE'!CJ$120</f>
        <v>0</v>
      </c>
      <c r="CK30" s="28">
        <f>'FY21 Final Initial $$'!CK30/'FY21 FTE'!CK$120</f>
        <v>0</v>
      </c>
      <c r="CL30" s="28">
        <f>'FY21 Final Initial $$'!CL30/'FY21 FTE'!CL$120</f>
        <v>0</v>
      </c>
      <c r="CM30" s="20">
        <v>0</v>
      </c>
      <c r="CN30" s="20">
        <v>0</v>
      </c>
      <c r="CO30" s="20">
        <v>488091.83999999997</v>
      </c>
      <c r="CP30" s="20">
        <v>0</v>
      </c>
      <c r="CQ30" s="28">
        <f>'FY21 Final Initial $$'!CQ30/'FY21 FTE'!CQ$120</f>
        <v>1</v>
      </c>
      <c r="CR30" s="20">
        <v>0</v>
      </c>
      <c r="CS30" s="20">
        <v>10780</v>
      </c>
      <c r="CT30" s="20">
        <v>0</v>
      </c>
      <c r="CU30" s="20">
        <v>109140.56994545454</v>
      </c>
      <c r="CV30" s="28">
        <f>'FY21 Final Initial $$'!CV30/'FY21 FTE'!CV$120</f>
        <v>1</v>
      </c>
      <c r="CW30" s="28">
        <f>'FY21 Final Initial $$'!CW30/'FY21 FTE'!CW$120</f>
        <v>0</v>
      </c>
      <c r="CX30" s="20">
        <v>0</v>
      </c>
      <c r="CY30" s="28">
        <f>'FY21 Final Initial $$'!CY30/'FY21 FTE'!CY$120</f>
        <v>0</v>
      </c>
      <c r="CZ30" s="20">
        <v>0</v>
      </c>
      <c r="DA30" s="20">
        <v>0</v>
      </c>
      <c r="DB30" s="20">
        <v>80200</v>
      </c>
      <c r="DC30" s="20">
        <v>171515.83716900193</v>
      </c>
      <c r="DD30" s="20">
        <v>0</v>
      </c>
      <c r="DE30" s="20">
        <v>0</v>
      </c>
      <c r="DF30" s="20">
        <v>0</v>
      </c>
      <c r="DG30" s="20">
        <v>34720</v>
      </c>
      <c r="DH30" s="28">
        <f>'FY21 Final Initial $$'!DH30/'FY21 FTE'!DH$120</f>
        <v>0</v>
      </c>
      <c r="DI30" s="20"/>
      <c r="DJ30" s="20">
        <v>22425</v>
      </c>
      <c r="DK30" s="22">
        <v>0</v>
      </c>
      <c r="DL30" s="20">
        <v>0</v>
      </c>
      <c r="DM30" s="20">
        <v>0</v>
      </c>
      <c r="DN30" s="20">
        <v>12722396.797431083</v>
      </c>
      <c r="DO30" s="29">
        <f t="shared" si="1"/>
        <v>0</v>
      </c>
      <c r="DP30" s="29">
        <f t="shared" si="1"/>
        <v>0</v>
      </c>
      <c r="DQ30" s="29">
        <f t="shared" si="2"/>
        <v>39.582873351408864</v>
      </c>
      <c r="DR30" s="29">
        <f t="shared" si="3"/>
        <v>29.5</v>
      </c>
      <c r="DS30" s="29">
        <f t="shared" si="4"/>
        <v>10</v>
      </c>
    </row>
    <row r="31" spans="1:123" x14ac:dyDescent="0.25">
      <c r="A31" s="18">
        <v>232</v>
      </c>
      <c r="B31" t="s">
        <v>170</v>
      </c>
      <c r="C31" t="s">
        <v>135</v>
      </c>
      <c r="D31">
        <v>3</v>
      </c>
      <c r="E31">
        <v>464</v>
      </c>
      <c r="F31" s="19">
        <f t="shared" si="0"/>
        <v>3.8793103448275863E-2</v>
      </c>
      <c r="G31">
        <v>18</v>
      </c>
      <c r="H31" s="28">
        <f>'FY21 Final Initial $$'!H31/'FY21 FTE'!H$120</f>
        <v>1</v>
      </c>
      <c r="I31" s="28">
        <f>'FY21 Final Initial $$'!I31/'FY21 FTE'!I$120</f>
        <v>1</v>
      </c>
      <c r="J31" s="28">
        <f>'FY21 Final Initial $$'!J31/'FY21 FTE'!J$120</f>
        <v>1.2</v>
      </c>
      <c r="K31" s="28">
        <f>'FY21 Final Initial $$'!K31/'FY21 FTE'!K$120</f>
        <v>0</v>
      </c>
      <c r="L31" s="28">
        <f>'FY21 Final Initial $$'!L31/'FY21 FTE'!L$120</f>
        <v>0</v>
      </c>
      <c r="M31" s="28">
        <f>'FY21 Final Initial $$'!M31/'FY21 FTE'!M$120</f>
        <v>1</v>
      </c>
      <c r="N31" s="28">
        <f>'FY21 Final Initial $$'!N31/'FY21 FTE'!N$120</f>
        <v>1</v>
      </c>
      <c r="O31" s="28">
        <f>'FY21 Final Initial $$'!O31/'FY21 FTE'!O$120</f>
        <v>1.2</v>
      </c>
      <c r="P31" s="28">
        <f>'FY21 Final Initial $$'!P31/'FY21 FTE'!P$120</f>
        <v>0</v>
      </c>
      <c r="Q31" s="28">
        <f>'FY21 Final Initial $$'!Q31/'FY21 FTE'!Q$120</f>
        <v>0</v>
      </c>
      <c r="R31" s="28">
        <f>'FY21 Final Initial $$'!R31/'FY21 FTE'!R$120</f>
        <v>0</v>
      </c>
      <c r="S31" s="28">
        <f>'FY21 Final Initial $$'!S31/'FY21 FTE'!S$120</f>
        <v>1</v>
      </c>
      <c r="T31" s="28">
        <f>'FY21 Final Initial $$'!T31/'FY21 FTE'!T$120</f>
        <v>1</v>
      </c>
      <c r="U31" s="28">
        <f>'FY21 Final Initial $$'!U31/'FY21 FTE'!U$120</f>
        <v>2</v>
      </c>
      <c r="V31" s="28">
        <f>'FY21 Final Initial $$'!V31/'FY21 FTE'!V$120</f>
        <v>1</v>
      </c>
      <c r="W31" s="28">
        <f>'FY21 Final Initial $$'!W31/'FY21 FTE'!W$120</f>
        <v>1</v>
      </c>
      <c r="X31" s="28">
        <f>'FY21 Final Initial $$'!X31/'FY21 FTE'!X$120</f>
        <v>1</v>
      </c>
      <c r="Y31" s="28">
        <f>'FY21 Final Initial $$'!Y31/'FY21 FTE'!Y$120</f>
        <v>1</v>
      </c>
      <c r="Z31" s="28">
        <f>'FY21 Final Initial $$'!Z31/'FY21 FTE'!Z$120</f>
        <v>1.5</v>
      </c>
      <c r="AA31" s="28">
        <f>'FY21 Final Initial $$'!AA31/'FY21 FTE'!AA$120</f>
        <v>0</v>
      </c>
      <c r="AB31" s="28">
        <f>'FY21 Final Initial $$'!AB31/'FY21 FTE'!AB$120</f>
        <v>0</v>
      </c>
      <c r="AC31" s="28">
        <f>'FY21 Final Initial $$'!AC31/'FY21 FTE'!AC$120</f>
        <v>0</v>
      </c>
      <c r="AD31" s="28">
        <f>'FY21 Final Initial $$'!AD31/'FY21 FTE'!AD$120</f>
        <v>0</v>
      </c>
      <c r="AE31" s="28">
        <f>'FY21 Final Initial $$'!AE31/'FY21 FTE'!AE$120</f>
        <v>0</v>
      </c>
      <c r="AF31" s="28">
        <f>'FY21 Final Initial $$'!AF31/'FY21 FTE'!AF$120</f>
        <v>2</v>
      </c>
      <c r="AG31" s="28">
        <f>'FY21 Final Initial $$'!AG31/'FY21 FTE'!AG$120</f>
        <v>2</v>
      </c>
      <c r="AH31" s="28">
        <f>'FY21 Final Initial $$'!AH31/'FY21 FTE'!AH$120</f>
        <v>3</v>
      </c>
      <c r="AI31" s="28">
        <f>'FY21 Final Initial $$'!AI31/'FY21 FTE'!AI$120</f>
        <v>3</v>
      </c>
      <c r="AJ31" s="28">
        <f>'FY21 Final Initial $$'!AJ31/'FY21 FTE'!AJ$120</f>
        <v>3</v>
      </c>
      <c r="AK31" s="28">
        <f>'FY21 Final Initial $$'!AK31/'FY21 FTE'!AK$120</f>
        <v>3</v>
      </c>
      <c r="AL31" s="28">
        <f>'FY21 Final Initial $$'!AL31/'FY21 FTE'!AL$120</f>
        <v>3</v>
      </c>
      <c r="AM31" s="28">
        <f>'FY21 Final Initial $$'!AM31/'FY21 FTE'!AM$120</f>
        <v>4</v>
      </c>
      <c r="AN31" s="28">
        <f>'FY21 Final Initial $$'!AN31/'FY21 FTE'!AN$120</f>
        <v>3.000000000000004</v>
      </c>
      <c r="AO31" s="28">
        <f>'FY21 Final Initial $$'!AO31/'FY21 FTE'!AO$120</f>
        <v>0</v>
      </c>
      <c r="AP31" s="28">
        <f>'FY21 Final Initial $$'!AP31/'FY21 FTE'!AP$120</f>
        <v>0</v>
      </c>
      <c r="AQ31" s="28">
        <f>'FY21 Final Initial $$'!AQ31/'FY21 FTE'!AQ$120</f>
        <v>0</v>
      </c>
      <c r="AR31" s="28">
        <f>'FY21 Final Initial $$'!AR31/'FY21 FTE'!AR$120</f>
        <v>0</v>
      </c>
      <c r="AS31" s="28">
        <f>'FY21 Final Initial $$'!AS31/'FY21 FTE'!AS$120</f>
        <v>0</v>
      </c>
      <c r="AT31" s="28">
        <f>'FY21 Final Initial $$'!AT31/'FY21 FTE'!AT$120</f>
        <v>0</v>
      </c>
      <c r="AU31" s="28">
        <f>'FY21 Final Initial $$'!AU31/'FY21 FTE'!AU$120</f>
        <v>0</v>
      </c>
      <c r="AV31" s="28">
        <f>'FY21 Final Initial $$'!AV31/'FY21 FTE'!AV$120</f>
        <v>0</v>
      </c>
      <c r="AW31" s="28">
        <f>'FY21 Final Initial $$'!AW31/'FY21 FTE'!AW$120</f>
        <v>0</v>
      </c>
      <c r="AX31" s="28">
        <f>'FY21 Final Initial $$'!AX31/'FY21 FTE'!AX$120</f>
        <v>0</v>
      </c>
      <c r="AY31" s="28">
        <f>'FY21 Final Initial $$'!AY31/'FY21 FTE'!AY$120</f>
        <v>0.5</v>
      </c>
      <c r="AZ31" s="28">
        <f>'FY21 Final Initial $$'!AZ31/'FY21 FTE'!AZ$120</f>
        <v>1</v>
      </c>
      <c r="BA31" s="28">
        <f>'FY21 Final Initial $$'!BA31/'FY21 FTE'!BA$120</f>
        <v>4</v>
      </c>
      <c r="BB31" s="28">
        <f>'FY21 Final Initial $$'!BB31/'FY21 FTE'!BB$120</f>
        <v>1</v>
      </c>
      <c r="BC31" s="28">
        <f>'FY21 Final Initial $$'!BC31/'FY21 FTE'!BC$120</f>
        <v>0</v>
      </c>
      <c r="BD31" s="28">
        <f>'FY21 Final Initial $$'!BD31/'FY21 FTE'!BD$120</f>
        <v>0</v>
      </c>
      <c r="BE31" s="28">
        <f>'FY21 Final Initial $$'!BE31/'FY21 FTE'!BE$120</f>
        <v>3</v>
      </c>
      <c r="BF31" s="28">
        <f>'FY21 Final Initial $$'!BF31/'FY21 FTE'!BF$120</f>
        <v>0</v>
      </c>
      <c r="BG31" s="28">
        <f>'FY21 Final Initial $$'!BG31/'FY21 FTE'!BG$120</f>
        <v>0</v>
      </c>
      <c r="BH31" s="28">
        <f>'FY21 Final Initial $$'!BH31/'FY21 FTE'!BH$120</f>
        <v>0</v>
      </c>
      <c r="BI31" s="28">
        <f>'FY21 Final Initial $$'!BI31/'FY21 FTE'!BI$120</f>
        <v>0</v>
      </c>
      <c r="BJ31" s="28">
        <f>'FY21 Final Initial $$'!BJ31/'FY21 FTE'!BJ$120</f>
        <v>0</v>
      </c>
      <c r="BK31" s="20">
        <v>0</v>
      </c>
      <c r="BL31" s="20"/>
      <c r="BM31" s="20"/>
      <c r="BN31" s="20">
        <v>0</v>
      </c>
      <c r="BO31" s="20">
        <v>0</v>
      </c>
      <c r="BP31" s="20">
        <v>11675</v>
      </c>
      <c r="BQ31" s="28">
        <f>'FY21 Final Initial $$'!BQ31/'FY21 FTE'!BQ$120</f>
        <v>0</v>
      </c>
      <c r="BR31" s="28">
        <f>'FY21 Final Initial $$'!BR31/'FY21 FTE'!BR$120</f>
        <v>0</v>
      </c>
      <c r="BS31" s="28">
        <f>'FY21 Final Initial $$'!BS31/'FY21 FTE'!BS$120</f>
        <v>0</v>
      </c>
      <c r="BT31" s="28">
        <f>'FY21 Final Initial $$'!BT31/'FY21 FTE'!BT$120</f>
        <v>0</v>
      </c>
      <c r="BU31" s="28">
        <f>'FY21 Final Initial $$'!BU31/'FY21 FTE'!BU$120</f>
        <v>0</v>
      </c>
      <c r="BV31" s="28">
        <f>'FY21 Final Initial $$'!BV31/'FY21 FTE'!BV$120</f>
        <v>0</v>
      </c>
      <c r="BW31" s="28">
        <f>'FY21 Final Initial $$'!BW31/'FY21 FTE'!BW$120</f>
        <v>0</v>
      </c>
      <c r="BX31" s="20">
        <v>0</v>
      </c>
      <c r="BY31" s="20">
        <v>0</v>
      </c>
      <c r="BZ31" s="20">
        <v>0</v>
      </c>
      <c r="CA31" s="20">
        <v>0</v>
      </c>
      <c r="CB31" s="28">
        <f>'FY21 Final Initial $$'!CB31/'FY21 FTE'!CB$120</f>
        <v>0</v>
      </c>
      <c r="CC31" s="28">
        <f>'FY21 Final Initial $$'!CC31/'FY21 FTE'!CC$120</f>
        <v>0</v>
      </c>
      <c r="CD31" s="20">
        <v>0</v>
      </c>
      <c r="CE31" s="28">
        <f>'FY21 Final Initial $$'!CE31/'FY21 FTE'!CE$120</f>
        <v>0</v>
      </c>
      <c r="CF31" s="28">
        <f>'FY21 Final Initial $$'!CF31/'FY21 FTE'!CF$120</f>
        <v>0</v>
      </c>
      <c r="CG31" s="28">
        <f>'FY21 Final Initial $$'!CG31/'FY21 FTE'!CG$120</f>
        <v>0</v>
      </c>
      <c r="CH31" s="28">
        <f>'FY21 Final Initial $$'!CH31/'FY21 FTE'!CH$120</f>
        <v>0</v>
      </c>
      <c r="CI31" s="28">
        <f>'FY21 Final Initial $$'!CI31/'FY21 FTE'!CI$120</f>
        <v>0</v>
      </c>
      <c r="CJ31" s="28">
        <f>'FY21 Final Initial $$'!CJ31/'FY21 FTE'!CJ$120</f>
        <v>0</v>
      </c>
      <c r="CK31" s="28">
        <f>'FY21 Final Initial $$'!CK31/'FY21 FTE'!CK$120</f>
        <v>0</v>
      </c>
      <c r="CL31" s="28">
        <f>'FY21 Final Initial $$'!CL31/'FY21 FTE'!CL$120</f>
        <v>0</v>
      </c>
      <c r="CM31" s="20">
        <v>0</v>
      </c>
      <c r="CN31" s="20">
        <v>0</v>
      </c>
      <c r="CO31" s="20">
        <v>167765.28</v>
      </c>
      <c r="CP31" s="20">
        <v>0</v>
      </c>
      <c r="CQ31" s="28">
        <f>'FY21 Final Initial $$'!CQ31/'FY21 FTE'!CQ$120</f>
        <v>0</v>
      </c>
      <c r="CR31" s="20">
        <v>0</v>
      </c>
      <c r="CS31" s="20">
        <v>0</v>
      </c>
      <c r="CT31" s="20">
        <v>0</v>
      </c>
      <c r="CU31" s="20">
        <v>24498.651428571429</v>
      </c>
      <c r="CV31" s="28">
        <f>'FY21 Final Initial $$'!CV31/'FY21 FTE'!CV$120</f>
        <v>0</v>
      </c>
      <c r="CW31" s="28">
        <f>'FY21 Final Initial $$'!CW31/'FY21 FTE'!CW$120</f>
        <v>0</v>
      </c>
      <c r="CX31" s="20">
        <v>0</v>
      </c>
      <c r="CY31" s="28">
        <f>'FY21 Final Initial $$'!CY31/'FY21 FTE'!CY$120</f>
        <v>0</v>
      </c>
      <c r="CZ31" s="20">
        <v>0</v>
      </c>
      <c r="DA31" s="20">
        <v>0</v>
      </c>
      <c r="DB31" s="20">
        <v>46400</v>
      </c>
      <c r="DC31" s="20">
        <v>80628.881132338036</v>
      </c>
      <c r="DD31" s="20">
        <v>0</v>
      </c>
      <c r="DE31" s="20">
        <v>0</v>
      </c>
      <c r="DF31" s="20">
        <v>0</v>
      </c>
      <c r="DG31" s="20">
        <v>0</v>
      </c>
      <c r="DH31" s="28">
        <f>'FY21 Final Initial $$'!DH31/'FY21 FTE'!DH$120</f>
        <v>0</v>
      </c>
      <c r="DI31" s="20"/>
      <c r="DJ31" s="20">
        <v>3149.9999338295311</v>
      </c>
      <c r="DK31" s="22">
        <v>0</v>
      </c>
      <c r="DL31" s="20">
        <v>0</v>
      </c>
      <c r="DM31" s="20">
        <v>0</v>
      </c>
      <c r="DN31" s="20">
        <v>5342122.8517703936</v>
      </c>
      <c r="DO31" s="29">
        <f t="shared" si="1"/>
        <v>5</v>
      </c>
      <c r="DP31" s="29">
        <f t="shared" si="1"/>
        <v>5</v>
      </c>
      <c r="DQ31" s="29">
        <f t="shared" si="2"/>
        <v>16.000000000000004</v>
      </c>
      <c r="DR31" s="29">
        <f t="shared" si="3"/>
        <v>8.5</v>
      </c>
      <c r="DS31" s="29">
        <f t="shared" si="4"/>
        <v>1</v>
      </c>
    </row>
    <row r="32" spans="1:123" x14ac:dyDescent="0.25">
      <c r="A32" s="18">
        <v>407</v>
      </c>
      <c r="B32" t="s">
        <v>171</v>
      </c>
      <c r="C32" t="s">
        <v>152</v>
      </c>
      <c r="D32">
        <v>6</v>
      </c>
      <c r="E32">
        <v>289</v>
      </c>
      <c r="F32" s="19">
        <f t="shared" si="0"/>
        <v>0.61245674740484424</v>
      </c>
      <c r="G32">
        <v>177</v>
      </c>
      <c r="H32" s="28">
        <f>'FY21 Final Initial $$'!H32/'FY21 FTE'!H$120</f>
        <v>1</v>
      </c>
      <c r="I32" s="28">
        <f>'FY21 Final Initial $$'!I32/'FY21 FTE'!I$120</f>
        <v>1</v>
      </c>
      <c r="J32" s="28">
        <f>'FY21 Final Initial $$'!J32/'FY21 FTE'!J$120</f>
        <v>1</v>
      </c>
      <c r="K32" s="28">
        <f>'FY21 Final Initial $$'!K32/'FY21 FTE'!K$120</f>
        <v>1</v>
      </c>
      <c r="L32" s="28">
        <f>'FY21 Final Initial $$'!L32/'FY21 FTE'!L$120</f>
        <v>0</v>
      </c>
      <c r="M32" s="28">
        <f>'FY21 Final Initial $$'!M32/'FY21 FTE'!M$120</f>
        <v>0.5</v>
      </c>
      <c r="N32" s="28">
        <f>'FY21 Final Initial $$'!N32/'FY21 FTE'!N$120</f>
        <v>1</v>
      </c>
      <c r="O32" s="28">
        <f>'FY21 Final Initial $$'!O32/'FY21 FTE'!O$120</f>
        <v>0</v>
      </c>
      <c r="P32" s="28">
        <f>'FY21 Final Initial $$'!P32/'FY21 FTE'!P$120</f>
        <v>0</v>
      </c>
      <c r="Q32" s="28">
        <f>'FY21 Final Initial $$'!Q32/'FY21 FTE'!Q$120</f>
        <v>0</v>
      </c>
      <c r="R32" s="28">
        <f>'FY21 Final Initial $$'!R32/'FY21 FTE'!R$120</f>
        <v>0</v>
      </c>
      <c r="S32" s="28">
        <f>'FY21 Final Initial $$'!S32/'FY21 FTE'!S$120</f>
        <v>1</v>
      </c>
      <c r="T32" s="28">
        <f>'FY21 Final Initial $$'!T32/'FY21 FTE'!T$120</f>
        <v>1</v>
      </c>
      <c r="U32" s="28">
        <f>'FY21 Final Initial $$'!U32/'FY21 FTE'!U$120</f>
        <v>3</v>
      </c>
      <c r="V32" s="28">
        <f>'FY21 Final Initial $$'!V32/'FY21 FTE'!V$120</f>
        <v>0.5</v>
      </c>
      <c r="W32" s="28">
        <f>'FY21 Final Initial $$'!W32/'FY21 FTE'!W$120</f>
        <v>0</v>
      </c>
      <c r="X32" s="28">
        <f>'FY21 Final Initial $$'!X32/'FY21 FTE'!X$120</f>
        <v>0</v>
      </c>
      <c r="Y32" s="28">
        <f>'FY21 Final Initial $$'!Y32/'FY21 FTE'!Y$120</f>
        <v>0</v>
      </c>
      <c r="Z32" s="28">
        <f>'FY21 Final Initial $$'!Z32/'FY21 FTE'!Z$120</f>
        <v>0</v>
      </c>
      <c r="AA32" s="28">
        <f>'FY21 Final Initial $$'!AA32/'FY21 FTE'!AA$120</f>
        <v>0</v>
      </c>
      <c r="AB32" s="28">
        <f>'FY21 Final Initial $$'!AB32/'FY21 FTE'!AB$120</f>
        <v>0</v>
      </c>
      <c r="AC32" s="28">
        <f>'FY21 Final Initial $$'!AC32/'FY21 FTE'!AC$120</f>
        <v>0</v>
      </c>
      <c r="AD32" s="28">
        <f>'FY21 Final Initial $$'!AD32/'FY21 FTE'!AD$120</f>
        <v>0</v>
      </c>
      <c r="AE32" s="28">
        <f>'FY21 Final Initial $$'!AE32/'FY21 FTE'!AE$120</f>
        <v>0</v>
      </c>
      <c r="AF32" s="28">
        <f>'FY21 Final Initial $$'!AF32/'FY21 FTE'!AF$120</f>
        <v>0</v>
      </c>
      <c r="AG32" s="28">
        <f>'FY21 Final Initial $$'!AG32/'FY21 FTE'!AG$120</f>
        <v>0</v>
      </c>
      <c r="AH32" s="28">
        <f>'FY21 Final Initial $$'!AH32/'FY21 FTE'!AH$120</f>
        <v>0</v>
      </c>
      <c r="AI32" s="28">
        <f>'FY21 Final Initial $$'!AI32/'FY21 FTE'!AI$120</f>
        <v>0</v>
      </c>
      <c r="AJ32" s="28">
        <f>'FY21 Final Initial $$'!AJ32/'FY21 FTE'!AJ$120</f>
        <v>0</v>
      </c>
      <c r="AK32" s="28">
        <f>'FY21 Final Initial $$'!AK32/'FY21 FTE'!AK$120</f>
        <v>0</v>
      </c>
      <c r="AL32" s="28">
        <f>'FY21 Final Initial $$'!AL32/'FY21 FTE'!AL$120</f>
        <v>0</v>
      </c>
      <c r="AM32" s="28">
        <f>'FY21 Final Initial $$'!AM32/'FY21 FTE'!AM$120</f>
        <v>0</v>
      </c>
      <c r="AN32" s="28">
        <f>'FY21 Final Initial $$'!AN32/'FY21 FTE'!AN$120</f>
        <v>0</v>
      </c>
      <c r="AO32" s="28">
        <f>'FY21 Final Initial $$'!AO32/'FY21 FTE'!AO$120</f>
        <v>4.5999999999999996</v>
      </c>
      <c r="AP32" s="28">
        <f>'FY21 Final Initial $$'!AP32/'FY21 FTE'!AP$120</f>
        <v>4.3</v>
      </c>
      <c r="AQ32" s="28">
        <f>'FY21 Final Initial $$'!AQ32/'FY21 FTE'!AQ$120</f>
        <v>4.3</v>
      </c>
      <c r="AR32" s="28">
        <f>'FY21 Final Initial $$'!AR32/'FY21 FTE'!AR$120</f>
        <v>0</v>
      </c>
      <c r="AS32" s="28">
        <f>'FY21 Final Initial $$'!AS32/'FY21 FTE'!AS$120</f>
        <v>0</v>
      </c>
      <c r="AT32" s="28">
        <f>'FY21 Final Initial $$'!AT32/'FY21 FTE'!AT$120</f>
        <v>0</v>
      </c>
      <c r="AU32" s="28">
        <f>'FY21 Final Initial $$'!AU32/'FY21 FTE'!AU$120</f>
        <v>0</v>
      </c>
      <c r="AV32" s="28">
        <f>'FY21 Final Initial $$'!AV32/'FY21 FTE'!AV$120</f>
        <v>0</v>
      </c>
      <c r="AW32" s="28">
        <f>'FY21 Final Initial $$'!AW32/'FY21 FTE'!AW$120</f>
        <v>0</v>
      </c>
      <c r="AX32" s="28">
        <f>'FY21 Final Initial $$'!AX32/'FY21 FTE'!AX$120</f>
        <v>0</v>
      </c>
      <c r="AY32" s="28">
        <f>'FY21 Final Initial $$'!AY32/'FY21 FTE'!AY$120</f>
        <v>0.5</v>
      </c>
      <c r="AZ32" s="28">
        <f>'FY21 Final Initial $$'!AZ32/'FY21 FTE'!AZ$120</f>
        <v>2</v>
      </c>
      <c r="BA32" s="28">
        <f>'FY21 Final Initial $$'!BA32/'FY21 FTE'!BA$120</f>
        <v>9</v>
      </c>
      <c r="BB32" s="28">
        <f>'FY21 Final Initial $$'!BB32/'FY21 FTE'!BB$120</f>
        <v>5</v>
      </c>
      <c r="BC32" s="28">
        <f>'FY21 Final Initial $$'!BC32/'FY21 FTE'!BC$120</f>
        <v>1</v>
      </c>
      <c r="BD32" s="28">
        <f>'FY21 Final Initial $$'!BD32/'FY21 FTE'!BD$120</f>
        <v>0</v>
      </c>
      <c r="BE32" s="28">
        <f>'FY21 Final Initial $$'!BE32/'FY21 FTE'!BE$120</f>
        <v>0.22727272727272727</v>
      </c>
      <c r="BF32" s="28">
        <f>'FY21 Final Initial $$'!BF32/'FY21 FTE'!BF$120</f>
        <v>0</v>
      </c>
      <c r="BG32" s="28">
        <f>'FY21 Final Initial $$'!BG32/'FY21 FTE'!BG$120</f>
        <v>0</v>
      </c>
      <c r="BH32" s="28">
        <f>'FY21 Final Initial $$'!BH32/'FY21 FTE'!BH$120</f>
        <v>0</v>
      </c>
      <c r="BI32" s="28">
        <f>'FY21 Final Initial $$'!BI32/'FY21 FTE'!BI$120</f>
        <v>0</v>
      </c>
      <c r="BJ32" s="28">
        <f>'FY21 Final Initial $$'!BJ32/'FY21 FTE'!BJ$120</f>
        <v>0</v>
      </c>
      <c r="BK32" s="20">
        <v>0</v>
      </c>
      <c r="BL32" s="20"/>
      <c r="BM32" s="20"/>
      <c r="BN32" s="20">
        <v>111231.64</v>
      </c>
      <c r="BO32" s="20">
        <v>1840.2</v>
      </c>
      <c r="BP32" s="20">
        <v>0</v>
      </c>
      <c r="BQ32" s="28">
        <f>'FY21 Final Initial $$'!BQ32/'FY21 FTE'!BQ$120</f>
        <v>1</v>
      </c>
      <c r="BR32" s="28">
        <f>'FY21 Final Initial $$'!BR32/'FY21 FTE'!BR$120</f>
        <v>0</v>
      </c>
      <c r="BS32" s="28">
        <f>'FY21 Final Initial $$'!BS32/'FY21 FTE'!BS$120</f>
        <v>1</v>
      </c>
      <c r="BT32" s="28">
        <f>'FY21 Final Initial $$'!BT32/'FY21 FTE'!BT$120</f>
        <v>0</v>
      </c>
      <c r="BU32" s="28">
        <f>'FY21 Final Initial $$'!BU32/'FY21 FTE'!BU$120</f>
        <v>0</v>
      </c>
      <c r="BV32" s="28">
        <f>'FY21 Final Initial $$'!BV32/'FY21 FTE'!BV$120</f>
        <v>0</v>
      </c>
      <c r="BW32" s="28">
        <f>'FY21 Final Initial $$'!BW32/'FY21 FTE'!BW$120</f>
        <v>0</v>
      </c>
      <c r="BX32" s="20">
        <v>0</v>
      </c>
      <c r="BY32" s="20">
        <v>0</v>
      </c>
      <c r="BZ32" s="20">
        <v>0</v>
      </c>
      <c r="CA32" s="20">
        <v>0</v>
      </c>
      <c r="CB32" s="28">
        <f>'FY21 Final Initial $$'!CB32/'FY21 FTE'!CB$120</f>
        <v>0</v>
      </c>
      <c r="CC32" s="28">
        <f>'FY21 Final Initial $$'!CC32/'FY21 FTE'!CC$120</f>
        <v>0</v>
      </c>
      <c r="CD32" s="20">
        <v>0</v>
      </c>
      <c r="CE32" s="28">
        <f>'FY21 Final Initial $$'!CE32/'FY21 FTE'!CE$120</f>
        <v>0</v>
      </c>
      <c r="CF32" s="28">
        <f>'FY21 Final Initial $$'!CF32/'FY21 FTE'!CF$120</f>
        <v>0</v>
      </c>
      <c r="CG32" s="28">
        <f>'FY21 Final Initial $$'!CG32/'FY21 FTE'!CG$120</f>
        <v>0</v>
      </c>
      <c r="CH32" s="28">
        <f>'FY21 Final Initial $$'!CH32/'FY21 FTE'!CH$120</f>
        <v>0</v>
      </c>
      <c r="CI32" s="28">
        <f>'FY21 Final Initial $$'!CI32/'FY21 FTE'!CI$120</f>
        <v>0</v>
      </c>
      <c r="CJ32" s="28">
        <f>'FY21 Final Initial $$'!CJ32/'FY21 FTE'!CJ$120</f>
        <v>0</v>
      </c>
      <c r="CK32" s="28">
        <f>'FY21 Final Initial $$'!CK32/'FY21 FTE'!CK$120</f>
        <v>1.999999999999996</v>
      </c>
      <c r="CL32" s="28">
        <f>'FY21 Final Initial $$'!CL32/'FY21 FTE'!CL$120</f>
        <v>1</v>
      </c>
      <c r="CM32" s="20">
        <v>23000</v>
      </c>
      <c r="CN32" s="20">
        <v>5000</v>
      </c>
      <c r="CO32" s="20">
        <v>299967.68</v>
      </c>
      <c r="CP32" s="20">
        <v>100000</v>
      </c>
      <c r="CQ32" s="28">
        <f>'FY21 Final Initial $$'!CQ32/'FY21 FTE'!CQ$120</f>
        <v>0</v>
      </c>
      <c r="CR32" s="20">
        <v>0</v>
      </c>
      <c r="CS32" s="20">
        <v>3540</v>
      </c>
      <c r="CT32" s="20">
        <v>0</v>
      </c>
      <c r="CU32" s="20">
        <v>25844.378645833334</v>
      </c>
      <c r="CV32" s="28">
        <f>'FY21 Final Initial $$'!CV32/'FY21 FTE'!CV$120</f>
        <v>0</v>
      </c>
      <c r="CW32" s="28">
        <f>'FY21 Final Initial $$'!CW32/'FY21 FTE'!CW$120</f>
        <v>0</v>
      </c>
      <c r="CX32" s="20">
        <v>0</v>
      </c>
      <c r="CY32" s="28">
        <f>'FY21 Final Initial $$'!CY32/'FY21 FTE'!CY$120</f>
        <v>0</v>
      </c>
      <c r="CZ32" s="20">
        <v>0</v>
      </c>
      <c r="DA32" s="20">
        <v>0</v>
      </c>
      <c r="DB32" s="20">
        <v>28900</v>
      </c>
      <c r="DC32" s="20">
        <v>75549.864049345138</v>
      </c>
      <c r="DD32" s="20">
        <v>0</v>
      </c>
      <c r="DE32" s="20">
        <v>0</v>
      </c>
      <c r="DF32" s="20">
        <v>0</v>
      </c>
      <c r="DG32" s="20">
        <v>24163</v>
      </c>
      <c r="DH32" s="28">
        <f>'FY21 Final Initial $$'!DH32/'FY21 FTE'!DH$120</f>
        <v>0</v>
      </c>
      <c r="DI32" s="20"/>
      <c r="DJ32" s="20">
        <v>38999.999860301614</v>
      </c>
      <c r="DK32" s="22">
        <v>0</v>
      </c>
      <c r="DL32" s="20">
        <v>0</v>
      </c>
      <c r="DM32" s="20">
        <v>0</v>
      </c>
      <c r="DN32" s="20">
        <v>5330574.902266358</v>
      </c>
      <c r="DO32" s="29">
        <f t="shared" si="1"/>
        <v>0</v>
      </c>
      <c r="DP32" s="29">
        <f t="shared" si="1"/>
        <v>0</v>
      </c>
      <c r="DQ32" s="29">
        <f t="shared" si="2"/>
        <v>13.2</v>
      </c>
      <c r="DR32" s="29">
        <f t="shared" si="3"/>
        <v>11.727272727272727</v>
      </c>
      <c r="DS32" s="29">
        <f t="shared" si="4"/>
        <v>5</v>
      </c>
    </row>
    <row r="33" spans="1:123" x14ac:dyDescent="0.25">
      <c r="A33" s="18">
        <v>471</v>
      </c>
      <c r="B33" t="s">
        <v>172</v>
      </c>
      <c r="C33" t="s">
        <v>138</v>
      </c>
      <c r="D33">
        <v>3</v>
      </c>
      <c r="E33">
        <v>558</v>
      </c>
      <c r="F33" s="19">
        <f t="shared" si="0"/>
        <v>0.31899641577060933</v>
      </c>
      <c r="G33">
        <v>178</v>
      </c>
      <c r="H33" s="28">
        <f>'FY21 Final Initial $$'!H33/'FY21 FTE'!H$120</f>
        <v>1</v>
      </c>
      <c r="I33" s="28">
        <f>'FY21 Final Initial $$'!I33/'FY21 FTE'!I$120</f>
        <v>1</v>
      </c>
      <c r="J33" s="28">
        <f>'FY21 Final Initial $$'!J33/'FY21 FTE'!J$120</f>
        <v>1.9</v>
      </c>
      <c r="K33" s="28">
        <f>'FY21 Final Initial $$'!K33/'FY21 FTE'!K$120</f>
        <v>0</v>
      </c>
      <c r="L33" s="28">
        <f>'FY21 Final Initial $$'!L33/'FY21 FTE'!L$120</f>
        <v>2.5</v>
      </c>
      <c r="M33" s="28">
        <f>'FY21 Final Initial $$'!M33/'FY21 FTE'!M$120</f>
        <v>1</v>
      </c>
      <c r="N33" s="28">
        <f>'FY21 Final Initial $$'!N33/'FY21 FTE'!N$120</f>
        <v>1</v>
      </c>
      <c r="O33" s="28">
        <f>'FY21 Final Initial $$'!O33/'FY21 FTE'!O$120</f>
        <v>1.4</v>
      </c>
      <c r="P33" s="28">
        <f>'FY21 Final Initial $$'!P33/'FY21 FTE'!P$120</f>
        <v>1</v>
      </c>
      <c r="Q33" s="28">
        <f>'FY21 Final Initial $$'!Q33/'FY21 FTE'!Q$120</f>
        <v>1.0000004487061702</v>
      </c>
      <c r="R33" s="28">
        <f>'FY21 Final Initial $$'!R33/'FY21 FTE'!R$120</f>
        <v>0</v>
      </c>
      <c r="S33" s="28">
        <f>'FY21 Final Initial $$'!S33/'FY21 FTE'!S$120</f>
        <v>1</v>
      </c>
      <c r="T33" s="28">
        <f>'FY21 Final Initial $$'!T33/'FY21 FTE'!T$120</f>
        <v>1</v>
      </c>
      <c r="U33" s="28">
        <f>'FY21 Final Initial $$'!U33/'FY21 FTE'!U$120</f>
        <v>5</v>
      </c>
      <c r="V33" s="28">
        <f>'FY21 Final Initial $$'!V33/'FY21 FTE'!V$120</f>
        <v>1</v>
      </c>
      <c r="W33" s="28">
        <f>'FY21 Final Initial $$'!W33/'FY21 FTE'!W$120</f>
        <v>0</v>
      </c>
      <c r="X33" s="28">
        <f>'FY21 Final Initial $$'!X33/'FY21 FTE'!X$120</f>
        <v>0</v>
      </c>
      <c r="Y33" s="28">
        <f>'FY21 Final Initial $$'!Y33/'FY21 FTE'!Y$120</f>
        <v>0</v>
      </c>
      <c r="Z33" s="28">
        <f>'FY21 Final Initial $$'!Z33/'FY21 FTE'!Z$120</f>
        <v>0</v>
      </c>
      <c r="AA33" s="28">
        <f>'FY21 Final Initial $$'!AA33/'FY21 FTE'!AA$120</f>
        <v>0</v>
      </c>
      <c r="AB33" s="28">
        <f>'FY21 Final Initial $$'!AB33/'FY21 FTE'!AB$120</f>
        <v>0</v>
      </c>
      <c r="AC33" s="28">
        <f>'FY21 Final Initial $$'!AC33/'FY21 FTE'!AC$120</f>
        <v>0</v>
      </c>
      <c r="AD33" s="28">
        <f>'FY21 Final Initial $$'!AD33/'FY21 FTE'!AD$120</f>
        <v>0</v>
      </c>
      <c r="AE33" s="28">
        <f>'FY21 Final Initial $$'!AE33/'FY21 FTE'!AE$120</f>
        <v>0</v>
      </c>
      <c r="AF33" s="28">
        <f>'FY21 Final Initial $$'!AF33/'FY21 FTE'!AF$120</f>
        <v>0</v>
      </c>
      <c r="AG33" s="28">
        <f>'FY21 Final Initial $$'!AG33/'FY21 FTE'!AG$120</f>
        <v>0</v>
      </c>
      <c r="AH33" s="28">
        <f>'FY21 Final Initial $$'!AH33/'FY21 FTE'!AH$120</f>
        <v>0</v>
      </c>
      <c r="AI33" s="28">
        <f>'FY21 Final Initial $$'!AI33/'FY21 FTE'!AI$120</f>
        <v>0</v>
      </c>
      <c r="AJ33" s="28">
        <f>'FY21 Final Initial $$'!AJ33/'FY21 FTE'!AJ$120</f>
        <v>0</v>
      </c>
      <c r="AK33" s="28">
        <f>'FY21 Final Initial $$'!AK33/'FY21 FTE'!AK$120</f>
        <v>0</v>
      </c>
      <c r="AL33" s="28">
        <f>'FY21 Final Initial $$'!AL33/'FY21 FTE'!AL$120</f>
        <v>0</v>
      </c>
      <c r="AM33" s="28">
        <f>'FY21 Final Initial $$'!AM33/'FY21 FTE'!AM$120</f>
        <v>0</v>
      </c>
      <c r="AN33" s="28">
        <f>'FY21 Final Initial $$'!AN33/'FY21 FTE'!AN$120</f>
        <v>0</v>
      </c>
      <c r="AO33" s="28">
        <f>'FY21 Final Initial $$'!AO33/'FY21 FTE'!AO$120</f>
        <v>0</v>
      </c>
      <c r="AP33" s="28">
        <f>'FY21 Final Initial $$'!AP33/'FY21 FTE'!AP$120</f>
        <v>0</v>
      </c>
      <c r="AQ33" s="28">
        <f>'FY21 Final Initial $$'!AQ33/'FY21 FTE'!AQ$120</f>
        <v>0</v>
      </c>
      <c r="AR33" s="28">
        <f>'FY21 Final Initial $$'!AR33/'FY21 FTE'!AR$120</f>
        <v>0</v>
      </c>
      <c r="AS33" s="28">
        <f>'FY21 Final Initial $$'!AS33/'FY21 FTE'!AS$120</f>
        <v>0</v>
      </c>
      <c r="AT33" s="28">
        <f>'FY21 Final Initial $$'!AT33/'FY21 FTE'!AT$120</f>
        <v>0</v>
      </c>
      <c r="AU33" s="28">
        <f>'FY21 Final Initial $$'!AU33/'FY21 FTE'!AU$120</f>
        <v>0</v>
      </c>
      <c r="AV33" s="28">
        <f>'FY21 Final Initial $$'!AV33/'FY21 FTE'!AV$120</f>
        <v>0</v>
      </c>
      <c r="AW33" s="28">
        <f>'FY21 Final Initial $$'!AW33/'FY21 FTE'!AW$120</f>
        <v>23.25</v>
      </c>
      <c r="AX33" s="28">
        <f>'FY21 Final Initial $$'!AX33/'FY21 FTE'!AX$120</f>
        <v>7.7499999999999609</v>
      </c>
      <c r="AY33" s="28">
        <f>'FY21 Final Initial $$'!AY33/'FY21 FTE'!AY$120</f>
        <v>1</v>
      </c>
      <c r="AZ33" s="28">
        <f>'FY21 Final Initial $$'!AZ33/'FY21 FTE'!AZ$120</f>
        <v>2</v>
      </c>
      <c r="BA33" s="28">
        <f>'FY21 Final Initial $$'!BA33/'FY21 FTE'!BA$120</f>
        <v>3</v>
      </c>
      <c r="BB33" s="28">
        <f>'FY21 Final Initial $$'!BB33/'FY21 FTE'!BB$120</f>
        <v>0</v>
      </c>
      <c r="BC33" s="28">
        <f>'FY21 Final Initial $$'!BC33/'FY21 FTE'!BC$120</f>
        <v>0</v>
      </c>
      <c r="BD33" s="28">
        <f>'FY21 Final Initial $$'!BD33/'FY21 FTE'!BD$120</f>
        <v>0</v>
      </c>
      <c r="BE33" s="28">
        <f>'FY21 Final Initial $$'!BE33/'FY21 FTE'!BE$120</f>
        <v>0.40909090909090912</v>
      </c>
      <c r="BF33" s="28">
        <f>'FY21 Final Initial $$'!BF33/'FY21 FTE'!BF$120</f>
        <v>0</v>
      </c>
      <c r="BG33" s="28">
        <f>'FY21 Final Initial $$'!BG33/'FY21 FTE'!BG$120</f>
        <v>0</v>
      </c>
      <c r="BH33" s="28">
        <f>'FY21 Final Initial $$'!BH33/'FY21 FTE'!BH$120</f>
        <v>0</v>
      </c>
      <c r="BI33" s="28">
        <f>'FY21 Final Initial $$'!BI33/'FY21 FTE'!BI$120</f>
        <v>0</v>
      </c>
      <c r="BJ33" s="28">
        <f>'FY21 Final Initial $$'!BJ33/'FY21 FTE'!BJ$120</f>
        <v>0</v>
      </c>
      <c r="BK33" s="20">
        <v>0</v>
      </c>
      <c r="BL33" s="20"/>
      <c r="BM33" s="20"/>
      <c r="BN33" s="20">
        <v>0</v>
      </c>
      <c r="BO33" s="20">
        <v>0</v>
      </c>
      <c r="BP33" s="20">
        <v>13950</v>
      </c>
      <c r="BQ33" s="28">
        <f>'FY21 Final Initial $$'!BQ33/'FY21 FTE'!BQ$120</f>
        <v>0</v>
      </c>
      <c r="BR33" s="28">
        <f>'FY21 Final Initial $$'!BR33/'FY21 FTE'!BR$120</f>
        <v>0</v>
      </c>
      <c r="BS33" s="28">
        <f>'FY21 Final Initial $$'!BS33/'FY21 FTE'!BS$120</f>
        <v>0</v>
      </c>
      <c r="BT33" s="28">
        <f>'FY21 Final Initial $$'!BT33/'FY21 FTE'!BT$120</f>
        <v>0</v>
      </c>
      <c r="BU33" s="28">
        <f>'FY21 Final Initial $$'!BU33/'FY21 FTE'!BU$120</f>
        <v>0</v>
      </c>
      <c r="BV33" s="28">
        <f>'FY21 Final Initial $$'!BV33/'FY21 FTE'!BV$120</f>
        <v>0</v>
      </c>
      <c r="BW33" s="28">
        <f>'FY21 Final Initial $$'!BW33/'FY21 FTE'!BW$120</f>
        <v>0</v>
      </c>
      <c r="BX33" s="20">
        <v>0</v>
      </c>
      <c r="BY33" s="20">
        <v>0</v>
      </c>
      <c r="BZ33" s="20">
        <v>0</v>
      </c>
      <c r="CA33" s="20">
        <v>0</v>
      </c>
      <c r="CB33" s="28">
        <f>'FY21 Final Initial $$'!CB33/'FY21 FTE'!CB$120</f>
        <v>0</v>
      </c>
      <c r="CC33" s="28">
        <f>'FY21 Final Initial $$'!CC33/'FY21 FTE'!CC$120</f>
        <v>0</v>
      </c>
      <c r="CD33" s="20">
        <v>0</v>
      </c>
      <c r="CE33" s="28">
        <f>'FY21 Final Initial $$'!CE33/'FY21 FTE'!CE$120</f>
        <v>0</v>
      </c>
      <c r="CF33" s="28">
        <f>'FY21 Final Initial $$'!CF33/'FY21 FTE'!CF$120</f>
        <v>0</v>
      </c>
      <c r="CG33" s="28">
        <f>'FY21 Final Initial $$'!CG33/'FY21 FTE'!CG$120</f>
        <v>0</v>
      </c>
      <c r="CH33" s="28">
        <f>'FY21 Final Initial $$'!CH33/'FY21 FTE'!CH$120</f>
        <v>0</v>
      </c>
      <c r="CI33" s="28">
        <f>'FY21 Final Initial $$'!CI33/'FY21 FTE'!CI$120</f>
        <v>0</v>
      </c>
      <c r="CJ33" s="28">
        <f>'FY21 Final Initial $$'!CJ33/'FY21 FTE'!CJ$120</f>
        <v>0</v>
      </c>
      <c r="CK33" s="28">
        <f>'FY21 Final Initial $$'!CK33/'FY21 FTE'!CK$120</f>
        <v>0</v>
      </c>
      <c r="CL33" s="28">
        <f>'FY21 Final Initial $$'!CL33/'FY21 FTE'!CL$120</f>
        <v>0</v>
      </c>
      <c r="CM33" s="20">
        <v>0</v>
      </c>
      <c r="CN33" s="20">
        <v>0</v>
      </c>
      <c r="CO33" s="20">
        <v>355889.44</v>
      </c>
      <c r="CP33" s="20">
        <v>0</v>
      </c>
      <c r="CQ33" s="28">
        <f>'FY21 Final Initial $$'!CQ33/'FY21 FTE'!CQ$120</f>
        <v>0</v>
      </c>
      <c r="CR33" s="20">
        <v>0</v>
      </c>
      <c r="CS33" s="20">
        <v>3560</v>
      </c>
      <c r="CT33" s="20">
        <v>0</v>
      </c>
      <c r="CU33" s="20">
        <v>77367.5</v>
      </c>
      <c r="CV33" s="28">
        <f>'FY21 Final Initial $$'!CV33/'FY21 FTE'!CV$120</f>
        <v>1</v>
      </c>
      <c r="CW33" s="28">
        <f>'FY21 Final Initial $$'!CW33/'FY21 FTE'!CW$120</f>
        <v>0</v>
      </c>
      <c r="CX33" s="20">
        <v>0</v>
      </c>
      <c r="CY33" s="28">
        <f>'FY21 Final Initial $$'!CY33/'FY21 FTE'!CY$120</f>
        <v>0</v>
      </c>
      <c r="CZ33" s="20">
        <v>0</v>
      </c>
      <c r="DA33" s="20">
        <v>0</v>
      </c>
      <c r="DB33" s="20">
        <v>55800</v>
      </c>
      <c r="DC33" s="20">
        <v>96538.377918917249</v>
      </c>
      <c r="DD33" s="20">
        <v>0</v>
      </c>
      <c r="DE33" s="20">
        <v>1921348.19041715</v>
      </c>
      <c r="DF33" s="20">
        <v>0</v>
      </c>
      <c r="DG33" s="20">
        <v>0</v>
      </c>
      <c r="DH33" s="28">
        <f>'FY21 Final Initial $$'!DH33/'FY21 FTE'!DH$120</f>
        <v>0</v>
      </c>
      <c r="DI33" s="20"/>
      <c r="DJ33" s="20">
        <v>20580</v>
      </c>
      <c r="DK33" s="22">
        <v>0</v>
      </c>
      <c r="DL33" s="20">
        <v>0</v>
      </c>
      <c r="DM33" s="20">
        <v>400000</v>
      </c>
      <c r="DN33" s="20">
        <v>8941206.0498837195</v>
      </c>
      <c r="DO33" s="29">
        <f t="shared" si="1"/>
        <v>0</v>
      </c>
      <c r="DP33" s="29">
        <f t="shared" si="1"/>
        <v>0</v>
      </c>
      <c r="DQ33" s="29">
        <f t="shared" si="2"/>
        <v>30.999999999999961</v>
      </c>
      <c r="DR33" s="29">
        <f t="shared" si="3"/>
        <v>6.4090909090909092</v>
      </c>
      <c r="DS33" s="29">
        <f t="shared" si="4"/>
        <v>0</v>
      </c>
    </row>
    <row r="34" spans="1:123" x14ac:dyDescent="0.25">
      <c r="A34" s="18">
        <v>318</v>
      </c>
      <c r="B34" t="s">
        <v>173</v>
      </c>
      <c r="C34" t="s">
        <v>150</v>
      </c>
      <c r="D34">
        <v>8</v>
      </c>
      <c r="E34">
        <v>462</v>
      </c>
      <c r="F34" s="19">
        <f t="shared" si="0"/>
        <v>0.72943722943722944</v>
      </c>
      <c r="G34">
        <v>337</v>
      </c>
      <c r="H34" s="28">
        <f>'FY21 Final Initial $$'!H34/'FY21 FTE'!H$120</f>
        <v>1</v>
      </c>
      <c r="I34" s="28">
        <f>'FY21 Final Initial $$'!I34/'FY21 FTE'!I$120</f>
        <v>1</v>
      </c>
      <c r="J34" s="28">
        <f>'FY21 Final Initial $$'!J34/'FY21 FTE'!J$120</f>
        <v>1.3</v>
      </c>
      <c r="K34" s="28">
        <f>'FY21 Final Initial $$'!K34/'FY21 FTE'!K$120</f>
        <v>1</v>
      </c>
      <c r="L34" s="28">
        <f>'FY21 Final Initial $$'!L34/'FY21 FTE'!L$120</f>
        <v>0</v>
      </c>
      <c r="M34" s="28">
        <f>'FY21 Final Initial $$'!M34/'FY21 FTE'!M$120</f>
        <v>1</v>
      </c>
      <c r="N34" s="28">
        <f>'FY21 Final Initial $$'!N34/'FY21 FTE'!N$120</f>
        <v>1</v>
      </c>
      <c r="O34" s="28">
        <f>'FY21 Final Initial $$'!O34/'FY21 FTE'!O$120</f>
        <v>1.2</v>
      </c>
      <c r="P34" s="28">
        <f>'FY21 Final Initial $$'!P34/'FY21 FTE'!P$120</f>
        <v>0</v>
      </c>
      <c r="Q34" s="28">
        <f>'FY21 Final Initial $$'!Q34/'FY21 FTE'!Q$120</f>
        <v>0</v>
      </c>
      <c r="R34" s="28">
        <f>'FY21 Final Initial $$'!R34/'FY21 FTE'!R$120</f>
        <v>0</v>
      </c>
      <c r="S34" s="28">
        <f>'FY21 Final Initial $$'!S34/'FY21 FTE'!S$120</f>
        <v>1</v>
      </c>
      <c r="T34" s="28">
        <f>'FY21 Final Initial $$'!T34/'FY21 FTE'!T$120</f>
        <v>1</v>
      </c>
      <c r="U34" s="28">
        <f>'FY21 Final Initial $$'!U34/'FY21 FTE'!U$120</f>
        <v>2</v>
      </c>
      <c r="V34" s="28">
        <f>'FY21 Final Initial $$'!V34/'FY21 FTE'!V$120</f>
        <v>1</v>
      </c>
      <c r="W34" s="28">
        <f>'FY21 Final Initial $$'!W34/'FY21 FTE'!W$120</f>
        <v>1</v>
      </c>
      <c r="X34" s="28">
        <f>'FY21 Final Initial $$'!X34/'FY21 FTE'!X$120</f>
        <v>1</v>
      </c>
      <c r="Y34" s="28">
        <f>'FY21 Final Initial $$'!Y34/'FY21 FTE'!Y$120</f>
        <v>1</v>
      </c>
      <c r="Z34" s="28">
        <f>'FY21 Final Initial $$'!Z34/'FY21 FTE'!Z$120</f>
        <v>0</v>
      </c>
      <c r="AA34" s="28">
        <f>'FY21 Final Initial $$'!AA34/'FY21 FTE'!AA$120</f>
        <v>0</v>
      </c>
      <c r="AB34" s="28">
        <f>'FY21 Final Initial $$'!AB34/'FY21 FTE'!AB$120</f>
        <v>3</v>
      </c>
      <c r="AC34" s="28">
        <f>'FY21 Final Initial $$'!AC34/'FY21 FTE'!AC$120</f>
        <v>3</v>
      </c>
      <c r="AD34" s="28">
        <f>'FY21 Final Initial $$'!AD34/'FY21 FTE'!AD$120</f>
        <v>1</v>
      </c>
      <c r="AE34" s="28">
        <f>'FY21 Final Initial $$'!AE34/'FY21 FTE'!AE$120</f>
        <v>1</v>
      </c>
      <c r="AF34" s="28">
        <f>'FY21 Final Initial $$'!AF34/'FY21 FTE'!AF$120</f>
        <v>3</v>
      </c>
      <c r="AG34" s="28">
        <f>'FY21 Final Initial $$'!AG34/'FY21 FTE'!AG$120</f>
        <v>3</v>
      </c>
      <c r="AH34" s="28">
        <f>'FY21 Final Initial $$'!AH34/'FY21 FTE'!AH$120</f>
        <v>3</v>
      </c>
      <c r="AI34" s="28">
        <f>'FY21 Final Initial $$'!AI34/'FY21 FTE'!AI$120</f>
        <v>3</v>
      </c>
      <c r="AJ34" s="28">
        <f>'FY21 Final Initial $$'!AJ34/'FY21 FTE'!AJ$120</f>
        <v>2</v>
      </c>
      <c r="AK34" s="28">
        <f>'FY21 Final Initial $$'!AK34/'FY21 FTE'!AK$120</f>
        <v>2</v>
      </c>
      <c r="AL34" s="28">
        <f>'FY21 Final Initial $$'!AL34/'FY21 FTE'!AL$120</f>
        <v>2</v>
      </c>
      <c r="AM34" s="28">
        <f>'FY21 Final Initial $$'!AM34/'FY21 FTE'!AM$120</f>
        <v>2</v>
      </c>
      <c r="AN34" s="28">
        <f>'FY21 Final Initial $$'!AN34/'FY21 FTE'!AN$120</f>
        <v>2.0000000000000027</v>
      </c>
      <c r="AO34" s="28">
        <f>'FY21 Final Initial $$'!AO34/'FY21 FTE'!AO$120</f>
        <v>2.1</v>
      </c>
      <c r="AP34" s="28">
        <f>'FY21 Final Initial $$'!AP34/'FY21 FTE'!AP$120</f>
        <v>1.9</v>
      </c>
      <c r="AQ34" s="28">
        <f>'FY21 Final Initial $$'!AQ34/'FY21 FTE'!AQ$120</f>
        <v>1.7999999999999998</v>
      </c>
      <c r="AR34" s="28">
        <f>'FY21 Final Initial $$'!AR34/'FY21 FTE'!AR$120</f>
        <v>0</v>
      </c>
      <c r="AS34" s="28">
        <f>'FY21 Final Initial $$'!AS34/'FY21 FTE'!AS$120</f>
        <v>0</v>
      </c>
      <c r="AT34" s="28">
        <f>'FY21 Final Initial $$'!AT34/'FY21 FTE'!AT$120</f>
        <v>0</v>
      </c>
      <c r="AU34" s="28">
        <f>'FY21 Final Initial $$'!AU34/'FY21 FTE'!AU$120</f>
        <v>0</v>
      </c>
      <c r="AV34" s="28">
        <f>'FY21 Final Initial $$'!AV34/'FY21 FTE'!AV$120</f>
        <v>0</v>
      </c>
      <c r="AW34" s="28">
        <f>'FY21 Final Initial $$'!AW34/'FY21 FTE'!AW$120</f>
        <v>0</v>
      </c>
      <c r="AX34" s="28">
        <f>'FY21 Final Initial $$'!AX34/'FY21 FTE'!AX$120</f>
        <v>0</v>
      </c>
      <c r="AY34" s="28">
        <f>'FY21 Final Initial $$'!AY34/'FY21 FTE'!AY$120</f>
        <v>1</v>
      </c>
      <c r="AZ34" s="28">
        <f>'FY21 Final Initial $$'!AZ34/'FY21 FTE'!AZ$120</f>
        <v>3</v>
      </c>
      <c r="BA34" s="28">
        <f>'FY21 Final Initial $$'!BA34/'FY21 FTE'!BA$120</f>
        <v>8</v>
      </c>
      <c r="BB34" s="28">
        <f>'FY21 Final Initial $$'!BB34/'FY21 FTE'!BB$120</f>
        <v>4</v>
      </c>
      <c r="BC34" s="28">
        <f>'FY21 Final Initial $$'!BC34/'FY21 FTE'!BC$120</f>
        <v>0</v>
      </c>
      <c r="BD34" s="28">
        <f>'FY21 Final Initial $$'!BD34/'FY21 FTE'!BD$120</f>
        <v>0</v>
      </c>
      <c r="BE34" s="28">
        <f>'FY21 Final Initial $$'!BE34/'FY21 FTE'!BE$120</f>
        <v>9.0909090909090912E-2</v>
      </c>
      <c r="BF34" s="28">
        <f>'FY21 Final Initial $$'!BF34/'FY21 FTE'!BF$120</f>
        <v>0</v>
      </c>
      <c r="BG34" s="28">
        <f>'FY21 Final Initial $$'!BG34/'FY21 FTE'!BG$120</f>
        <v>0</v>
      </c>
      <c r="BH34" s="28">
        <f>'FY21 Final Initial $$'!BH34/'FY21 FTE'!BH$120</f>
        <v>5</v>
      </c>
      <c r="BI34" s="28">
        <f>'FY21 Final Initial $$'!BI34/'FY21 FTE'!BI$120</f>
        <v>5</v>
      </c>
      <c r="BJ34" s="28">
        <f>'FY21 Final Initial $$'!BJ34/'FY21 FTE'!BJ$120</f>
        <v>1</v>
      </c>
      <c r="BK34" s="20">
        <v>0</v>
      </c>
      <c r="BL34" s="20"/>
      <c r="BM34" s="20"/>
      <c r="BN34" s="20">
        <v>190450.17</v>
      </c>
      <c r="BO34" s="20">
        <v>3150.29</v>
      </c>
      <c r="BP34" s="20">
        <v>0</v>
      </c>
      <c r="BQ34" s="28">
        <f>'FY21 Final Initial $$'!BQ34/'FY21 FTE'!BQ$120</f>
        <v>0</v>
      </c>
      <c r="BR34" s="28">
        <f>'FY21 Final Initial $$'!BR34/'FY21 FTE'!BR$120</f>
        <v>0</v>
      </c>
      <c r="BS34" s="28">
        <f>'FY21 Final Initial $$'!BS34/'FY21 FTE'!BS$120</f>
        <v>0</v>
      </c>
      <c r="BT34" s="28">
        <f>'FY21 Final Initial $$'!BT34/'FY21 FTE'!BT$120</f>
        <v>0</v>
      </c>
      <c r="BU34" s="28">
        <f>'FY21 Final Initial $$'!BU34/'FY21 FTE'!BU$120</f>
        <v>0</v>
      </c>
      <c r="BV34" s="28">
        <f>'FY21 Final Initial $$'!BV34/'FY21 FTE'!BV$120</f>
        <v>0</v>
      </c>
      <c r="BW34" s="28">
        <f>'FY21 Final Initial $$'!BW34/'FY21 FTE'!BW$120</f>
        <v>0</v>
      </c>
      <c r="BX34" s="20">
        <v>0</v>
      </c>
      <c r="BY34" s="20">
        <v>0</v>
      </c>
      <c r="BZ34" s="20">
        <v>0</v>
      </c>
      <c r="CA34" s="20">
        <v>0</v>
      </c>
      <c r="CB34" s="28">
        <f>'FY21 Final Initial $$'!CB34/'FY21 FTE'!CB$120</f>
        <v>0</v>
      </c>
      <c r="CC34" s="28">
        <f>'FY21 Final Initial $$'!CC34/'FY21 FTE'!CC$120</f>
        <v>0</v>
      </c>
      <c r="CD34" s="20">
        <v>0</v>
      </c>
      <c r="CE34" s="28">
        <f>'FY21 Final Initial $$'!CE34/'FY21 FTE'!CE$120</f>
        <v>0</v>
      </c>
      <c r="CF34" s="28">
        <f>'FY21 Final Initial $$'!CF34/'FY21 FTE'!CF$120</f>
        <v>0</v>
      </c>
      <c r="CG34" s="28">
        <f>'FY21 Final Initial $$'!CG34/'FY21 FTE'!CG$120</f>
        <v>0</v>
      </c>
      <c r="CH34" s="28">
        <f>'FY21 Final Initial $$'!CH34/'FY21 FTE'!CH$120</f>
        <v>0</v>
      </c>
      <c r="CI34" s="28">
        <f>'FY21 Final Initial $$'!CI34/'FY21 FTE'!CI$120</f>
        <v>0</v>
      </c>
      <c r="CJ34" s="28">
        <f>'FY21 Final Initial $$'!CJ34/'FY21 FTE'!CJ$120</f>
        <v>0</v>
      </c>
      <c r="CK34" s="28">
        <f>'FY21 Final Initial $$'!CK34/'FY21 FTE'!CK$120</f>
        <v>2</v>
      </c>
      <c r="CL34" s="28">
        <f>'FY21 Final Initial $$'!CL34/'FY21 FTE'!CL$120</f>
        <v>0</v>
      </c>
      <c r="CM34" s="20">
        <v>23000</v>
      </c>
      <c r="CN34" s="20">
        <v>5000</v>
      </c>
      <c r="CO34" s="20">
        <v>111843.51999999999</v>
      </c>
      <c r="CP34" s="20">
        <v>100000</v>
      </c>
      <c r="CQ34" s="28">
        <f>'FY21 Final Initial $$'!CQ34/'FY21 FTE'!CQ$120</f>
        <v>0</v>
      </c>
      <c r="CR34" s="20">
        <v>0</v>
      </c>
      <c r="CS34" s="20">
        <v>6740</v>
      </c>
      <c r="CT34" s="20">
        <v>0</v>
      </c>
      <c r="CU34" s="20">
        <v>28790.6</v>
      </c>
      <c r="CV34" s="28">
        <f>'FY21 Final Initial $$'!CV34/'FY21 FTE'!CV$120</f>
        <v>0</v>
      </c>
      <c r="CW34" s="28">
        <f>'FY21 Final Initial $$'!CW34/'FY21 FTE'!CW$120</f>
        <v>0</v>
      </c>
      <c r="CX34" s="20">
        <v>0</v>
      </c>
      <c r="CY34" s="28">
        <f>'FY21 Final Initial $$'!CY34/'FY21 FTE'!CY$120</f>
        <v>0</v>
      </c>
      <c r="CZ34" s="20">
        <v>0</v>
      </c>
      <c r="DA34" s="20">
        <v>0</v>
      </c>
      <c r="DB34" s="20">
        <v>46200</v>
      </c>
      <c r="DC34" s="20">
        <v>104447.16017510724</v>
      </c>
      <c r="DD34" s="20">
        <v>0</v>
      </c>
      <c r="DE34" s="20">
        <v>0</v>
      </c>
      <c r="DF34" s="20">
        <v>13859</v>
      </c>
      <c r="DG34" s="20">
        <v>0</v>
      </c>
      <c r="DH34" s="28">
        <f>'FY21 Final Initial $$'!DH34/'FY21 FTE'!DH$120</f>
        <v>0</v>
      </c>
      <c r="DI34" s="20"/>
      <c r="DJ34" s="20">
        <v>32825.000179186463</v>
      </c>
      <c r="DK34" s="22">
        <v>0</v>
      </c>
      <c r="DL34" s="20">
        <v>0</v>
      </c>
      <c r="DM34" s="20">
        <v>90000</v>
      </c>
      <c r="DN34" s="20">
        <v>7269006.9934665402</v>
      </c>
      <c r="DO34" s="29">
        <f t="shared" si="1"/>
        <v>10</v>
      </c>
      <c r="DP34" s="29">
        <f t="shared" si="1"/>
        <v>10</v>
      </c>
      <c r="DQ34" s="29">
        <f t="shared" si="2"/>
        <v>15.800000000000004</v>
      </c>
      <c r="DR34" s="29">
        <f t="shared" si="3"/>
        <v>12.090909090909092</v>
      </c>
      <c r="DS34" s="29">
        <f t="shared" si="4"/>
        <v>4</v>
      </c>
    </row>
    <row r="35" spans="1:123" x14ac:dyDescent="0.25">
      <c r="A35" s="18">
        <v>238</v>
      </c>
      <c r="B35" t="s">
        <v>174</v>
      </c>
      <c r="C35" t="s">
        <v>135</v>
      </c>
      <c r="D35">
        <v>8</v>
      </c>
      <c r="E35">
        <v>286</v>
      </c>
      <c r="F35" s="19">
        <f t="shared" si="0"/>
        <v>0.79020979020979021</v>
      </c>
      <c r="G35">
        <v>226</v>
      </c>
      <c r="H35" s="28">
        <f>'FY21 Final Initial $$'!H35/'FY21 FTE'!H$120</f>
        <v>1</v>
      </c>
      <c r="I35" s="28">
        <f>'FY21 Final Initial $$'!I35/'FY21 FTE'!I$120</f>
        <v>1</v>
      </c>
      <c r="J35" s="28">
        <f>'FY21 Final Initial $$'!J35/'FY21 FTE'!J$120</f>
        <v>0</v>
      </c>
      <c r="K35" s="28">
        <f>'FY21 Final Initial $$'!K35/'FY21 FTE'!K$120</f>
        <v>0</v>
      </c>
      <c r="L35" s="28">
        <f>'FY21 Final Initial $$'!L35/'FY21 FTE'!L$120</f>
        <v>0</v>
      </c>
      <c r="M35" s="28">
        <f>'FY21 Final Initial $$'!M35/'FY21 FTE'!M$120</f>
        <v>0.5</v>
      </c>
      <c r="N35" s="28">
        <f>'FY21 Final Initial $$'!N35/'FY21 FTE'!N$120</f>
        <v>1</v>
      </c>
      <c r="O35" s="28">
        <f>'FY21 Final Initial $$'!O35/'FY21 FTE'!O$120</f>
        <v>0</v>
      </c>
      <c r="P35" s="28">
        <f>'FY21 Final Initial $$'!P35/'FY21 FTE'!P$120</f>
        <v>0</v>
      </c>
      <c r="Q35" s="28">
        <f>'FY21 Final Initial $$'!Q35/'FY21 FTE'!Q$120</f>
        <v>0</v>
      </c>
      <c r="R35" s="28">
        <f>'FY21 Final Initial $$'!R35/'FY21 FTE'!R$120</f>
        <v>0</v>
      </c>
      <c r="S35" s="28">
        <f>'FY21 Final Initial $$'!S35/'FY21 FTE'!S$120</f>
        <v>1</v>
      </c>
      <c r="T35" s="28">
        <f>'FY21 Final Initial $$'!T35/'FY21 FTE'!T$120</f>
        <v>1</v>
      </c>
      <c r="U35" s="28">
        <f>'FY21 Final Initial $$'!U35/'FY21 FTE'!U$120</f>
        <v>1</v>
      </c>
      <c r="V35" s="28">
        <f>'FY21 Final Initial $$'!V35/'FY21 FTE'!V$120</f>
        <v>0.5</v>
      </c>
      <c r="W35" s="28">
        <f>'FY21 Final Initial $$'!W35/'FY21 FTE'!W$120</f>
        <v>1</v>
      </c>
      <c r="X35" s="28">
        <f>'FY21 Final Initial $$'!X35/'FY21 FTE'!X$120</f>
        <v>1</v>
      </c>
      <c r="Y35" s="28">
        <f>'FY21 Final Initial $$'!Y35/'FY21 FTE'!Y$120</f>
        <v>1</v>
      </c>
      <c r="Z35" s="28">
        <f>'FY21 Final Initial $$'!Z35/'FY21 FTE'!Z$120</f>
        <v>0</v>
      </c>
      <c r="AA35" s="28">
        <f>'FY21 Final Initial $$'!AA35/'FY21 FTE'!AA$120</f>
        <v>0</v>
      </c>
      <c r="AB35" s="28">
        <f>'FY21 Final Initial $$'!AB35/'FY21 FTE'!AB$120</f>
        <v>1</v>
      </c>
      <c r="AC35" s="28">
        <f>'FY21 Final Initial $$'!AC35/'FY21 FTE'!AC$120</f>
        <v>1</v>
      </c>
      <c r="AD35" s="28">
        <f>'FY21 Final Initial $$'!AD35/'FY21 FTE'!AD$120</f>
        <v>1</v>
      </c>
      <c r="AE35" s="28">
        <f>'FY21 Final Initial $$'!AE35/'FY21 FTE'!AE$120</f>
        <v>1</v>
      </c>
      <c r="AF35" s="28">
        <f>'FY21 Final Initial $$'!AF35/'FY21 FTE'!AF$120</f>
        <v>1</v>
      </c>
      <c r="AG35" s="28">
        <f>'FY21 Final Initial $$'!AG35/'FY21 FTE'!AG$120</f>
        <v>1</v>
      </c>
      <c r="AH35" s="28">
        <f>'FY21 Final Initial $$'!AH35/'FY21 FTE'!AH$120</f>
        <v>2</v>
      </c>
      <c r="AI35" s="28">
        <f>'FY21 Final Initial $$'!AI35/'FY21 FTE'!AI$120</f>
        <v>2</v>
      </c>
      <c r="AJ35" s="28">
        <f>'FY21 Final Initial $$'!AJ35/'FY21 FTE'!AJ$120</f>
        <v>2</v>
      </c>
      <c r="AK35" s="28">
        <f>'FY21 Final Initial $$'!AK35/'FY21 FTE'!AK$120</f>
        <v>2</v>
      </c>
      <c r="AL35" s="28">
        <f>'FY21 Final Initial $$'!AL35/'FY21 FTE'!AL$120</f>
        <v>2</v>
      </c>
      <c r="AM35" s="28">
        <f>'FY21 Final Initial $$'!AM35/'FY21 FTE'!AM$120</f>
        <v>2</v>
      </c>
      <c r="AN35" s="28">
        <f>'FY21 Final Initial $$'!AN35/'FY21 FTE'!AN$120</f>
        <v>3.000000000000004</v>
      </c>
      <c r="AO35" s="28">
        <f>'FY21 Final Initial $$'!AO35/'FY21 FTE'!AO$120</f>
        <v>0</v>
      </c>
      <c r="AP35" s="28">
        <f>'FY21 Final Initial $$'!AP35/'FY21 FTE'!AP$120</f>
        <v>0</v>
      </c>
      <c r="AQ35" s="28">
        <f>'FY21 Final Initial $$'!AQ35/'FY21 FTE'!AQ$120</f>
        <v>0</v>
      </c>
      <c r="AR35" s="28">
        <f>'FY21 Final Initial $$'!AR35/'FY21 FTE'!AR$120</f>
        <v>0</v>
      </c>
      <c r="AS35" s="28">
        <f>'FY21 Final Initial $$'!AS35/'FY21 FTE'!AS$120</f>
        <v>0</v>
      </c>
      <c r="AT35" s="28">
        <f>'FY21 Final Initial $$'!AT35/'FY21 FTE'!AT$120</f>
        <v>0</v>
      </c>
      <c r="AU35" s="28">
        <f>'FY21 Final Initial $$'!AU35/'FY21 FTE'!AU$120</f>
        <v>0</v>
      </c>
      <c r="AV35" s="28">
        <f>'FY21 Final Initial $$'!AV35/'FY21 FTE'!AV$120</f>
        <v>0</v>
      </c>
      <c r="AW35" s="28">
        <f>'FY21 Final Initial $$'!AW35/'FY21 FTE'!AW$120</f>
        <v>0</v>
      </c>
      <c r="AX35" s="28">
        <f>'FY21 Final Initial $$'!AX35/'FY21 FTE'!AX$120</f>
        <v>0</v>
      </c>
      <c r="AY35" s="28">
        <f>'FY21 Final Initial $$'!AY35/'FY21 FTE'!AY$120</f>
        <v>1</v>
      </c>
      <c r="AZ35" s="28">
        <f>'FY21 Final Initial $$'!AZ35/'FY21 FTE'!AZ$120</f>
        <v>1</v>
      </c>
      <c r="BA35" s="28">
        <f>'FY21 Final Initial $$'!BA35/'FY21 FTE'!BA$120</f>
        <v>6</v>
      </c>
      <c r="BB35" s="28">
        <f>'FY21 Final Initial $$'!BB35/'FY21 FTE'!BB$120</f>
        <v>6</v>
      </c>
      <c r="BC35" s="28">
        <f>'FY21 Final Initial $$'!BC35/'FY21 FTE'!BC$120</f>
        <v>0</v>
      </c>
      <c r="BD35" s="28">
        <f>'FY21 Final Initial $$'!BD35/'FY21 FTE'!BD$120</f>
        <v>0</v>
      </c>
      <c r="BE35" s="28">
        <f>'FY21 Final Initial $$'!BE35/'FY21 FTE'!BE$120</f>
        <v>9.0909090909090912E-2</v>
      </c>
      <c r="BF35" s="28">
        <f>'FY21 Final Initial $$'!BF35/'FY21 FTE'!BF$120</f>
        <v>0</v>
      </c>
      <c r="BG35" s="28">
        <f>'FY21 Final Initial $$'!BG35/'FY21 FTE'!BG$120</f>
        <v>0</v>
      </c>
      <c r="BH35" s="28">
        <f>'FY21 Final Initial $$'!BH35/'FY21 FTE'!BH$120</f>
        <v>3</v>
      </c>
      <c r="BI35" s="28">
        <f>'FY21 Final Initial $$'!BI35/'FY21 FTE'!BI$120</f>
        <v>3</v>
      </c>
      <c r="BJ35" s="28">
        <f>'FY21 Final Initial $$'!BJ35/'FY21 FTE'!BJ$120</f>
        <v>1</v>
      </c>
      <c r="BK35" s="20">
        <v>0</v>
      </c>
      <c r="BL35" s="20"/>
      <c r="BM35" s="20"/>
      <c r="BN35" s="20">
        <v>122312.18</v>
      </c>
      <c r="BO35" s="20">
        <v>2023.52</v>
      </c>
      <c r="BP35" s="20">
        <v>0</v>
      </c>
      <c r="BQ35" s="28">
        <f>'FY21 Final Initial $$'!BQ35/'FY21 FTE'!BQ$120</f>
        <v>0</v>
      </c>
      <c r="BR35" s="28">
        <f>'FY21 Final Initial $$'!BR35/'FY21 FTE'!BR$120</f>
        <v>0</v>
      </c>
      <c r="BS35" s="28">
        <f>'FY21 Final Initial $$'!BS35/'FY21 FTE'!BS$120</f>
        <v>0</v>
      </c>
      <c r="BT35" s="28">
        <f>'FY21 Final Initial $$'!BT35/'FY21 FTE'!BT$120</f>
        <v>0</v>
      </c>
      <c r="BU35" s="28">
        <f>'FY21 Final Initial $$'!BU35/'FY21 FTE'!BU$120</f>
        <v>0</v>
      </c>
      <c r="BV35" s="28">
        <f>'FY21 Final Initial $$'!BV35/'FY21 FTE'!BV$120</f>
        <v>0</v>
      </c>
      <c r="BW35" s="28">
        <f>'FY21 Final Initial $$'!BW35/'FY21 FTE'!BW$120</f>
        <v>0</v>
      </c>
      <c r="BX35" s="20">
        <v>0</v>
      </c>
      <c r="BY35" s="20">
        <v>0</v>
      </c>
      <c r="BZ35" s="20">
        <v>0</v>
      </c>
      <c r="CA35" s="20">
        <v>0</v>
      </c>
      <c r="CB35" s="28">
        <f>'FY21 Final Initial $$'!CB35/'FY21 FTE'!CB$120</f>
        <v>0</v>
      </c>
      <c r="CC35" s="28">
        <f>'FY21 Final Initial $$'!CC35/'FY21 FTE'!CC$120</f>
        <v>0</v>
      </c>
      <c r="CD35" s="20">
        <v>0</v>
      </c>
      <c r="CE35" s="28">
        <f>'FY21 Final Initial $$'!CE35/'FY21 FTE'!CE$120</f>
        <v>0</v>
      </c>
      <c r="CF35" s="28">
        <f>'FY21 Final Initial $$'!CF35/'FY21 FTE'!CF$120</f>
        <v>0</v>
      </c>
      <c r="CG35" s="28">
        <f>'FY21 Final Initial $$'!CG35/'FY21 FTE'!CG$120</f>
        <v>0</v>
      </c>
      <c r="CH35" s="28">
        <f>'FY21 Final Initial $$'!CH35/'FY21 FTE'!CH$120</f>
        <v>0</v>
      </c>
      <c r="CI35" s="28">
        <f>'FY21 Final Initial $$'!CI35/'FY21 FTE'!CI$120</f>
        <v>0</v>
      </c>
      <c r="CJ35" s="28">
        <f>'FY21 Final Initial $$'!CJ35/'FY21 FTE'!CJ$120</f>
        <v>0</v>
      </c>
      <c r="CK35" s="28">
        <f>'FY21 Final Initial $$'!CK35/'FY21 FTE'!CK$120</f>
        <v>0</v>
      </c>
      <c r="CL35" s="28">
        <f>'FY21 Final Initial $$'!CL35/'FY21 FTE'!CL$120</f>
        <v>0</v>
      </c>
      <c r="CM35" s="20">
        <v>0</v>
      </c>
      <c r="CN35" s="20">
        <v>0</v>
      </c>
      <c r="CO35" s="20">
        <v>55921.759999999995</v>
      </c>
      <c r="CP35" s="20">
        <v>0</v>
      </c>
      <c r="CQ35" s="28">
        <f>'FY21 Final Initial $$'!CQ35/'FY21 FTE'!CQ$120</f>
        <v>0</v>
      </c>
      <c r="CR35" s="20">
        <v>0</v>
      </c>
      <c r="CS35" s="20">
        <v>9040</v>
      </c>
      <c r="CT35" s="20">
        <v>0</v>
      </c>
      <c r="CU35" s="20">
        <v>16535.982677165353</v>
      </c>
      <c r="CV35" s="28">
        <f>'FY21 Final Initial $$'!CV35/'FY21 FTE'!CV$120</f>
        <v>0</v>
      </c>
      <c r="CW35" s="28">
        <f>'FY21 Final Initial $$'!CW35/'FY21 FTE'!CW$120</f>
        <v>0</v>
      </c>
      <c r="CX35" s="20">
        <v>0</v>
      </c>
      <c r="CY35" s="28">
        <f>'FY21 Final Initial $$'!CY35/'FY21 FTE'!CY$120</f>
        <v>0</v>
      </c>
      <c r="CZ35" s="20">
        <v>0</v>
      </c>
      <c r="DA35" s="20">
        <v>0</v>
      </c>
      <c r="DB35" s="20">
        <v>28600</v>
      </c>
      <c r="DC35" s="20">
        <v>64749.262830403102</v>
      </c>
      <c r="DD35" s="20">
        <v>0</v>
      </c>
      <c r="DE35" s="20">
        <v>0</v>
      </c>
      <c r="DF35" s="20">
        <v>13859</v>
      </c>
      <c r="DG35" s="20">
        <v>0</v>
      </c>
      <c r="DH35" s="28">
        <f>'FY21 Final Initial $$'!DH35/'FY21 FTE'!DH$120</f>
        <v>0</v>
      </c>
      <c r="DI35" s="20"/>
      <c r="DJ35" s="20">
        <v>26325.000116229057</v>
      </c>
      <c r="DK35" s="22">
        <v>0</v>
      </c>
      <c r="DL35" s="20">
        <v>0</v>
      </c>
      <c r="DM35" s="20">
        <v>0</v>
      </c>
      <c r="DN35" s="20">
        <v>4443400.0491270954</v>
      </c>
      <c r="DO35" s="29">
        <f t="shared" si="1"/>
        <v>5</v>
      </c>
      <c r="DP35" s="29">
        <f t="shared" si="1"/>
        <v>5</v>
      </c>
      <c r="DQ35" s="29">
        <f t="shared" si="2"/>
        <v>11.000000000000004</v>
      </c>
      <c r="DR35" s="29">
        <f t="shared" si="3"/>
        <v>8.0909090909090917</v>
      </c>
      <c r="DS35" s="29">
        <f t="shared" si="4"/>
        <v>6</v>
      </c>
    </row>
    <row r="36" spans="1:123" x14ac:dyDescent="0.25">
      <c r="A36" s="18">
        <v>239</v>
      </c>
      <c r="B36" t="s">
        <v>175</v>
      </c>
      <c r="C36" t="s">
        <v>135</v>
      </c>
      <c r="D36">
        <v>2</v>
      </c>
      <c r="E36">
        <v>304</v>
      </c>
      <c r="F36" s="19">
        <f t="shared" si="0"/>
        <v>0.40789473684210525</v>
      </c>
      <c r="G36">
        <v>124</v>
      </c>
      <c r="H36" s="28">
        <f>'FY21 Final Initial $$'!H36/'FY21 FTE'!H$120</f>
        <v>1</v>
      </c>
      <c r="I36" s="28">
        <f>'FY21 Final Initial $$'!I36/'FY21 FTE'!I$120</f>
        <v>1</v>
      </c>
      <c r="J36" s="28">
        <f>'FY21 Final Initial $$'!J36/'FY21 FTE'!J$120</f>
        <v>0.8</v>
      </c>
      <c r="K36" s="28">
        <f>'FY21 Final Initial $$'!K36/'FY21 FTE'!K$120</f>
        <v>0</v>
      </c>
      <c r="L36" s="28">
        <f>'FY21 Final Initial $$'!L36/'FY21 FTE'!L$120</f>
        <v>0</v>
      </c>
      <c r="M36" s="28">
        <f>'FY21 Final Initial $$'!M36/'FY21 FTE'!M$120</f>
        <v>1</v>
      </c>
      <c r="N36" s="28">
        <f>'FY21 Final Initial $$'!N36/'FY21 FTE'!N$120</f>
        <v>1</v>
      </c>
      <c r="O36" s="28">
        <f>'FY21 Final Initial $$'!O36/'FY21 FTE'!O$120</f>
        <v>0</v>
      </c>
      <c r="P36" s="28">
        <f>'FY21 Final Initial $$'!P36/'FY21 FTE'!P$120</f>
        <v>0</v>
      </c>
      <c r="Q36" s="28">
        <f>'FY21 Final Initial $$'!Q36/'FY21 FTE'!Q$120</f>
        <v>0</v>
      </c>
      <c r="R36" s="28">
        <f>'FY21 Final Initial $$'!R36/'FY21 FTE'!R$120</f>
        <v>0</v>
      </c>
      <c r="S36" s="28">
        <f>'FY21 Final Initial $$'!S36/'FY21 FTE'!S$120</f>
        <v>1</v>
      </c>
      <c r="T36" s="28">
        <f>'FY21 Final Initial $$'!T36/'FY21 FTE'!T$120</f>
        <v>1</v>
      </c>
      <c r="U36" s="28">
        <f>'FY21 Final Initial $$'!U36/'FY21 FTE'!U$120</f>
        <v>2</v>
      </c>
      <c r="V36" s="28">
        <f>'FY21 Final Initial $$'!V36/'FY21 FTE'!V$120</f>
        <v>1</v>
      </c>
      <c r="W36" s="28">
        <f>'FY21 Final Initial $$'!W36/'FY21 FTE'!W$120</f>
        <v>1</v>
      </c>
      <c r="X36" s="28">
        <f>'FY21 Final Initial $$'!X36/'FY21 FTE'!X$120</f>
        <v>1</v>
      </c>
      <c r="Y36" s="28">
        <f>'FY21 Final Initial $$'!Y36/'FY21 FTE'!Y$120</f>
        <v>1</v>
      </c>
      <c r="Z36" s="28">
        <f>'FY21 Final Initial $$'!Z36/'FY21 FTE'!Z$120</f>
        <v>0</v>
      </c>
      <c r="AA36" s="28">
        <f>'FY21 Final Initial $$'!AA36/'FY21 FTE'!AA$120</f>
        <v>0</v>
      </c>
      <c r="AB36" s="28">
        <f>'FY21 Final Initial $$'!AB36/'FY21 FTE'!AB$120</f>
        <v>0</v>
      </c>
      <c r="AC36" s="28">
        <f>'FY21 Final Initial $$'!AC36/'FY21 FTE'!AC$120</f>
        <v>0</v>
      </c>
      <c r="AD36" s="28">
        <f>'FY21 Final Initial $$'!AD36/'FY21 FTE'!AD$120</f>
        <v>5</v>
      </c>
      <c r="AE36" s="28">
        <f>'FY21 Final Initial $$'!AE36/'FY21 FTE'!AE$120</f>
        <v>6</v>
      </c>
      <c r="AF36" s="28">
        <f>'FY21 Final Initial $$'!AF36/'FY21 FTE'!AF$120</f>
        <v>0</v>
      </c>
      <c r="AG36" s="28">
        <f>'FY21 Final Initial $$'!AG36/'FY21 FTE'!AG$120</f>
        <v>0</v>
      </c>
      <c r="AH36" s="28">
        <f>'FY21 Final Initial $$'!AH36/'FY21 FTE'!AH$120</f>
        <v>2</v>
      </c>
      <c r="AI36" s="28">
        <f>'FY21 Final Initial $$'!AI36/'FY21 FTE'!AI$120</f>
        <v>2</v>
      </c>
      <c r="AJ36" s="28">
        <f>'FY21 Final Initial $$'!AJ36/'FY21 FTE'!AJ$120</f>
        <v>2</v>
      </c>
      <c r="AK36" s="28">
        <f>'FY21 Final Initial $$'!AK36/'FY21 FTE'!AK$120</f>
        <v>2</v>
      </c>
      <c r="AL36" s="28">
        <f>'FY21 Final Initial $$'!AL36/'FY21 FTE'!AL$120</f>
        <v>2</v>
      </c>
      <c r="AM36" s="28">
        <f>'FY21 Final Initial $$'!AM36/'FY21 FTE'!AM$120</f>
        <v>2</v>
      </c>
      <c r="AN36" s="28">
        <f>'FY21 Final Initial $$'!AN36/'FY21 FTE'!AN$120</f>
        <v>1.0000000000000013</v>
      </c>
      <c r="AO36" s="28">
        <f>'FY21 Final Initial $$'!AO36/'FY21 FTE'!AO$120</f>
        <v>0</v>
      </c>
      <c r="AP36" s="28">
        <f>'FY21 Final Initial $$'!AP36/'FY21 FTE'!AP$120</f>
        <v>0</v>
      </c>
      <c r="AQ36" s="28">
        <f>'FY21 Final Initial $$'!AQ36/'FY21 FTE'!AQ$120</f>
        <v>0</v>
      </c>
      <c r="AR36" s="28">
        <f>'FY21 Final Initial $$'!AR36/'FY21 FTE'!AR$120</f>
        <v>0</v>
      </c>
      <c r="AS36" s="28">
        <f>'FY21 Final Initial $$'!AS36/'FY21 FTE'!AS$120</f>
        <v>0</v>
      </c>
      <c r="AT36" s="28">
        <f>'FY21 Final Initial $$'!AT36/'FY21 FTE'!AT$120</f>
        <v>0</v>
      </c>
      <c r="AU36" s="28">
        <f>'FY21 Final Initial $$'!AU36/'FY21 FTE'!AU$120</f>
        <v>0</v>
      </c>
      <c r="AV36" s="28">
        <f>'FY21 Final Initial $$'!AV36/'FY21 FTE'!AV$120</f>
        <v>0</v>
      </c>
      <c r="AW36" s="28">
        <f>'FY21 Final Initial $$'!AW36/'FY21 FTE'!AW$120</f>
        <v>0</v>
      </c>
      <c r="AX36" s="28">
        <f>'FY21 Final Initial $$'!AX36/'FY21 FTE'!AX$120</f>
        <v>0</v>
      </c>
      <c r="AY36" s="28">
        <f>'FY21 Final Initial $$'!AY36/'FY21 FTE'!AY$120</f>
        <v>0.5</v>
      </c>
      <c r="AZ36" s="28">
        <f>'FY21 Final Initial $$'!AZ36/'FY21 FTE'!AZ$120</f>
        <v>1</v>
      </c>
      <c r="BA36" s="28">
        <f>'FY21 Final Initial $$'!BA36/'FY21 FTE'!BA$120</f>
        <v>7</v>
      </c>
      <c r="BB36" s="28">
        <f>'FY21 Final Initial $$'!BB36/'FY21 FTE'!BB$120</f>
        <v>6</v>
      </c>
      <c r="BC36" s="28">
        <f>'FY21 Final Initial $$'!BC36/'FY21 FTE'!BC$120</f>
        <v>0</v>
      </c>
      <c r="BD36" s="28">
        <f>'FY21 Final Initial $$'!BD36/'FY21 FTE'!BD$120</f>
        <v>0</v>
      </c>
      <c r="BE36" s="28">
        <f>'FY21 Final Initial $$'!BE36/'FY21 FTE'!BE$120</f>
        <v>4.5</v>
      </c>
      <c r="BF36" s="28">
        <f>'FY21 Final Initial $$'!BF36/'FY21 FTE'!BF$120</f>
        <v>0</v>
      </c>
      <c r="BG36" s="28">
        <f>'FY21 Final Initial $$'!BG36/'FY21 FTE'!BG$120</f>
        <v>0</v>
      </c>
      <c r="BH36" s="28">
        <f>'FY21 Final Initial $$'!BH36/'FY21 FTE'!BH$120</f>
        <v>3</v>
      </c>
      <c r="BI36" s="28">
        <f>'FY21 Final Initial $$'!BI36/'FY21 FTE'!BI$120</f>
        <v>3</v>
      </c>
      <c r="BJ36" s="28">
        <f>'FY21 Final Initial $$'!BJ36/'FY21 FTE'!BJ$120</f>
        <v>1</v>
      </c>
      <c r="BK36" s="20">
        <v>0</v>
      </c>
      <c r="BL36" s="20"/>
      <c r="BM36" s="20"/>
      <c r="BN36" s="20">
        <v>124016.88</v>
      </c>
      <c r="BO36" s="20">
        <v>2051.7199999999998</v>
      </c>
      <c r="BP36" s="20">
        <v>0</v>
      </c>
      <c r="BQ36" s="28">
        <f>'FY21 Final Initial $$'!BQ36/'FY21 FTE'!BQ$120</f>
        <v>0</v>
      </c>
      <c r="BR36" s="28">
        <f>'FY21 Final Initial $$'!BR36/'FY21 FTE'!BR$120</f>
        <v>0</v>
      </c>
      <c r="BS36" s="28">
        <f>'FY21 Final Initial $$'!BS36/'FY21 FTE'!BS$120</f>
        <v>0</v>
      </c>
      <c r="BT36" s="28">
        <f>'FY21 Final Initial $$'!BT36/'FY21 FTE'!BT$120</f>
        <v>0</v>
      </c>
      <c r="BU36" s="28">
        <f>'FY21 Final Initial $$'!BU36/'FY21 FTE'!BU$120</f>
        <v>0</v>
      </c>
      <c r="BV36" s="28">
        <f>'FY21 Final Initial $$'!BV36/'FY21 FTE'!BV$120</f>
        <v>0</v>
      </c>
      <c r="BW36" s="28">
        <f>'FY21 Final Initial $$'!BW36/'FY21 FTE'!BW$120</f>
        <v>0</v>
      </c>
      <c r="BX36" s="20">
        <v>0</v>
      </c>
      <c r="BY36" s="20">
        <v>0</v>
      </c>
      <c r="BZ36" s="20">
        <v>0</v>
      </c>
      <c r="CA36" s="20">
        <v>0</v>
      </c>
      <c r="CB36" s="28">
        <f>'FY21 Final Initial $$'!CB36/'FY21 FTE'!CB$120</f>
        <v>0</v>
      </c>
      <c r="CC36" s="28">
        <f>'FY21 Final Initial $$'!CC36/'FY21 FTE'!CC$120</f>
        <v>0</v>
      </c>
      <c r="CD36" s="20">
        <v>0</v>
      </c>
      <c r="CE36" s="28">
        <f>'FY21 Final Initial $$'!CE36/'FY21 FTE'!CE$120</f>
        <v>0</v>
      </c>
      <c r="CF36" s="28">
        <f>'FY21 Final Initial $$'!CF36/'FY21 FTE'!CF$120</f>
        <v>0</v>
      </c>
      <c r="CG36" s="28">
        <f>'FY21 Final Initial $$'!CG36/'FY21 FTE'!CG$120</f>
        <v>0</v>
      </c>
      <c r="CH36" s="28">
        <f>'FY21 Final Initial $$'!CH36/'FY21 FTE'!CH$120</f>
        <v>0</v>
      </c>
      <c r="CI36" s="28">
        <f>'FY21 Final Initial $$'!CI36/'FY21 FTE'!CI$120</f>
        <v>0</v>
      </c>
      <c r="CJ36" s="28">
        <f>'FY21 Final Initial $$'!CJ36/'FY21 FTE'!CJ$120</f>
        <v>0</v>
      </c>
      <c r="CK36" s="28">
        <f>'FY21 Final Initial $$'!CK36/'FY21 FTE'!CK$120</f>
        <v>0</v>
      </c>
      <c r="CL36" s="28">
        <f>'FY21 Final Initial $$'!CL36/'FY21 FTE'!CL$120</f>
        <v>0</v>
      </c>
      <c r="CM36" s="20">
        <v>0</v>
      </c>
      <c r="CN36" s="20">
        <v>0</v>
      </c>
      <c r="CO36" s="20">
        <v>55921.759999999995</v>
      </c>
      <c r="CP36" s="20">
        <v>0</v>
      </c>
      <c r="CQ36" s="28">
        <f>'FY21 Final Initial $$'!CQ36/'FY21 FTE'!CQ$120</f>
        <v>0</v>
      </c>
      <c r="CR36" s="20">
        <v>0</v>
      </c>
      <c r="CS36" s="20">
        <v>2480</v>
      </c>
      <c r="CT36" s="20">
        <v>0</v>
      </c>
      <c r="CU36" s="20">
        <v>17642.337078651686</v>
      </c>
      <c r="CV36" s="28">
        <f>'FY21 Final Initial $$'!CV36/'FY21 FTE'!CV$120</f>
        <v>0</v>
      </c>
      <c r="CW36" s="28">
        <f>'FY21 Final Initial $$'!CW36/'FY21 FTE'!CW$120</f>
        <v>0</v>
      </c>
      <c r="CX36" s="20">
        <v>0</v>
      </c>
      <c r="CY36" s="28">
        <f>'FY21 Final Initial $$'!CY36/'FY21 FTE'!CY$120</f>
        <v>0</v>
      </c>
      <c r="CZ36" s="20">
        <v>0</v>
      </c>
      <c r="DA36" s="20">
        <v>0</v>
      </c>
      <c r="DB36" s="20">
        <v>30400</v>
      </c>
      <c r="DC36" s="20">
        <v>79510.629676534285</v>
      </c>
      <c r="DD36" s="20">
        <v>0</v>
      </c>
      <c r="DE36" s="20">
        <v>0</v>
      </c>
      <c r="DF36" s="20">
        <v>0</v>
      </c>
      <c r="DG36" s="20">
        <v>0</v>
      </c>
      <c r="DH36" s="28">
        <f>'FY21 Final Initial $$'!DH36/'FY21 FTE'!DH$120</f>
        <v>0</v>
      </c>
      <c r="DI36" s="20"/>
      <c r="DJ36" s="20">
        <v>4050.0000519677997</v>
      </c>
      <c r="DK36" s="22">
        <v>0</v>
      </c>
      <c r="DL36" s="20">
        <v>0</v>
      </c>
      <c r="DM36" s="20">
        <v>0</v>
      </c>
      <c r="DN36" s="20">
        <v>5336961.7539210841</v>
      </c>
      <c r="DO36" s="29">
        <f t="shared" si="1"/>
        <v>7</v>
      </c>
      <c r="DP36" s="29">
        <f t="shared" si="1"/>
        <v>8</v>
      </c>
      <c r="DQ36" s="29">
        <f t="shared" si="2"/>
        <v>9.0000000000000018</v>
      </c>
      <c r="DR36" s="29">
        <f t="shared" si="3"/>
        <v>13</v>
      </c>
      <c r="DS36" s="29">
        <f t="shared" si="4"/>
        <v>6</v>
      </c>
    </row>
    <row r="37" spans="1:123" x14ac:dyDescent="0.25">
      <c r="A37" s="18">
        <v>227</v>
      </c>
      <c r="B37" t="s">
        <v>176</v>
      </c>
      <c r="C37" t="s">
        <v>135</v>
      </c>
      <c r="D37">
        <v>1</v>
      </c>
      <c r="E37">
        <v>401</v>
      </c>
      <c r="F37" s="19">
        <f t="shared" si="0"/>
        <v>0.51122194513715713</v>
      </c>
      <c r="G37">
        <v>205</v>
      </c>
      <c r="H37" s="28">
        <f>'FY21 Final Initial $$'!H37/'FY21 FTE'!H$120</f>
        <v>1</v>
      </c>
      <c r="I37" s="28">
        <f>'FY21 Final Initial $$'!I37/'FY21 FTE'!I$120</f>
        <v>1</v>
      </c>
      <c r="J37" s="28">
        <f>'FY21 Final Initial $$'!J37/'FY21 FTE'!J$120</f>
        <v>1</v>
      </c>
      <c r="K37" s="28">
        <f>'FY21 Final Initial $$'!K37/'FY21 FTE'!K$120</f>
        <v>0</v>
      </c>
      <c r="L37" s="28">
        <f>'FY21 Final Initial $$'!L37/'FY21 FTE'!L$120</f>
        <v>0</v>
      </c>
      <c r="M37" s="28">
        <f>'FY21 Final Initial $$'!M37/'FY21 FTE'!M$120</f>
        <v>1</v>
      </c>
      <c r="N37" s="28">
        <f>'FY21 Final Initial $$'!N37/'FY21 FTE'!N$120</f>
        <v>1</v>
      </c>
      <c r="O37" s="28">
        <f>'FY21 Final Initial $$'!O37/'FY21 FTE'!O$120</f>
        <v>1</v>
      </c>
      <c r="P37" s="28">
        <f>'FY21 Final Initial $$'!P37/'FY21 FTE'!P$120</f>
        <v>0</v>
      </c>
      <c r="Q37" s="28">
        <f>'FY21 Final Initial $$'!Q37/'FY21 FTE'!Q$120</f>
        <v>0</v>
      </c>
      <c r="R37" s="28">
        <f>'FY21 Final Initial $$'!R37/'FY21 FTE'!R$120</f>
        <v>0</v>
      </c>
      <c r="S37" s="28">
        <f>'FY21 Final Initial $$'!S37/'FY21 FTE'!S$120</f>
        <v>1</v>
      </c>
      <c r="T37" s="28">
        <f>'FY21 Final Initial $$'!T37/'FY21 FTE'!T$120</f>
        <v>1</v>
      </c>
      <c r="U37" s="28">
        <f>'FY21 Final Initial $$'!U37/'FY21 FTE'!U$120</f>
        <v>2</v>
      </c>
      <c r="V37" s="28">
        <f>'FY21 Final Initial $$'!V37/'FY21 FTE'!V$120</f>
        <v>1</v>
      </c>
      <c r="W37" s="28">
        <f>'FY21 Final Initial $$'!W37/'FY21 FTE'!W$120</f>
        <v>1</v>
      </c>
      <c r="X37" s="28">
        <f>'FY21 Final Initial $$'!X37/'FY21 FTE'!X$120</f>
        <v>1</v>
      </c>
      <c r="Y37" s="28">
        <f>'FY21 Final Initial $$'!Y37/'FY21 FTE'!Y$120</f>
        <v>1</v>
      </c>
      <c r="Z37" s="28">
        <f>'FY21 Final Initial $$'!Z37/'FY21 FTE'!Z$120</f>
        <v>1.4999999999999973</v>
      </c>
      <c r="AA37" s="28">
        <f>'FY21 Final Initial $$'!AA37/'FY21 FTE'!AA$120</f>
        <v>0.5</v>
      </c>
      <c r="AB37" s="28">
        <f>'FY21 Final Initial $$'!AB37/'FY21 FTE'!AB$120</f>
        <v>2</v>
      </c>
      <c r="AC37" s="28">
        <f>'FY21 Final Initial $$'!AC37/'FY21 FTE'!AC$120</f>
        <v>2</v>
      </c>
      <c r="AD37" s="28">
        <f>'FY21 Final Initial $$'!AD37/'FY21 FTE'!AD$120</f>
        <v>0</v>
      </c>
      <c r="AE37" s="28">
        <f>'FY21 Final Initial $$'!AE37/'FY21 FTE'!AE$120</f>
        <v>0</v>
      </c>
      <c r="AF37" s="28">
        <f>'FY21 Final Initial $$'!AF37/'FY21 FTE'!AF$120</f>
        <v>3</v>
      </c>
      <c r="AG37" s="28">
        <f>'FY21 Final Initial $$'!AG37/'FY21 FTE'!AG$120</f>
        <v>3</v>
      </c>
      <c r="AH37" s="28">
        <f>'FY21 Final Initial $$'!AH37/'FY21 FTE'!AH$120</f>
        <v>3</v>
      </c>
      <c r="AI37" s="28">
        <f>'FY21 Final Initial $$'!AI37/'FY21 FTE'!AI$120</f>
        <v>3</v>
      </c>
      <c r="AJ37" s="28">
        <f>'FY21 Final Initial $$'!AJ37/'FY21 FTE'!AJ$120</f>
        <v>3</v>
      </c>
      <c r="AK37" s="28">
        <f>'FY21 Final Initial $$'!AK37/'FY21 FTE'!AK$120</f>
        <v>3</v>
      </c>
      <c r="AL37" s="28">
        <f>'FY21 Final Initial $$'!AL37/'FY21 FTE'!AL$120</f>
        <v>2</v>
      </c>
      <c r="AM37" s="28">
        <f>'FY21 Final Initial $$'!AM37/'FY21 FTE'!AM$120</f>
        <v>2</v>
      </c>
      <c r="AN37" s="28">
        <f>'FY21 Final Initial $$'!AN37/'FY21 FTE'!AN$120</f>
        <v>2.0000000000000027</v>
      </c>
      <c r="AO37" s="28">
        <f>'FY21 Final Initial $$'!AO37/'FY21 FTE'!AO$120</f>
        <v>0</v>
      </c>
      <c r="AP37" s="28">
        <f>'FY21 Final Initial $$'!AP37/'FY21 FTE'!AP$120</f>
        <v>0</v>
      </c>
      <c r="AQ37" s="28">
        <f>'FY21 Final Initial $$'!AQ37/'FY21 FTE'!AQ$120</f>
        <v>0</v>
      </c>
      <c r="AR37" s="28">
        <f>'FY21 Final Initial $$'!AR37/'FY21 FTE'!AR$120</f>
        <v>0</v>
      </c>
      <c r="AS37" s="28">
        <f>'FY21 Final Initial $$'!AS37/'FY21 FTE'!AS$120</f>
        <v>0</v>
      </c>
      <c r="AT37" s="28">
        <f>'FY21 Final Initial $$'!AT37/'FY21 FTE'!AT$120</f>
        <v>0</v>
      </c>
      <c r="AU37" s="28">
        <f>'FY21 Final Initial $$'!AU37/'FY21 FTE'!AU$120</f>
        <v>0</v>
      </c>
      <c r="AV37" s="28">
        <f>'FY21 Final Initial $$'!AV37/'FY21 FTE'!AV$120</f>
        <v>0</v>
      </c>
      <c r="AW37" s="28">
        <f>'FY21 Final Initial $$'!AW37/'FY21 FTE'!AW$120</f>
        <v>0</v>
      </c>
      <c r="AX37" s="28">
        <f>'FY21 Final Initial $$'!AX37/'FY21 FTE'!AX$120</f>
        <v>0</v>
      </c>
      <c r="AY37" s="28">
        <f>'FY21 Final Initial $$'!AY37/'FY21 FTE'!AY$120</f>
        <v>0.5</v>
      </c>
      <c r="AZ37" s="28">
        <f>'FY21 Final Initial $$'!AZ37/'FY21 FTE'!AZ$120</f>
        <v>2</v>
      </c>
      <c r="BA37" s="28">
        <f>'FY21 Final Initial $$'!BA37/'FY21 FTE'!BA$120</f>
        <v>7</v>
      </c>
      <c r="BB37" s="28">
        <f>'FY21 Final Initial $$'!BB37/'FY21 FTE'!BB$120</f>
        <v>4</v>
      </c>
      <c r="BC37" s="28">
        <f>'FY21 Final Initial $$'!BC37/'FY21 FTE'!BC$120</f>
        <v>0</v>
      </c>
      <c r="BD37" s="28">
        <f>'FY21 Final Initial $$'!BD37/'FY21 FTE'!BD$120</f>
        <v>0</v>
      </c>
      <c r="BE37" s="28">
        <f>'FY21 Final Initial $$'!BE37/'FY21 FTE'!BE$120</f>
        <v>9</v>
      </c>
      <c r="BF37" s="28">
        <f>'FY21 Final Initial $$'!BF37/'FY21 FTE'!BF$120</f>
        <v>0</v>
      </c>
      <c r="BG37" s="28">
        <f>'FY21 Final Initial $$'!BG37/'FY21 FTE'!BG$120</f>
        <v>1</v>
      </c>
      <c r="BH37" s="28">
        <f>'FY21 Final Initial $$'!BH37/'FY21 FTE'!BH$120</f>
        <v>0</v>
      </c>
      <c r="BI37" s="28">
        <f>'FY21 Final Initial $$'!BI37/'FY21 FTE'!BI$120</f>
        <v>0</v>
      </c>
      <c r="BJ37" s="28">
        <f>'FY21 Final Initial $$'!BJ37/'FY21 FTE'!BJ$120</f>
        <v>0</v>
      </c>
      <c r="BK37" s="20">
        <v>0</v>
      </c>
      <c r="BL37" s="20"/>
      <c r="BM37" s="20"/>
      <c r="BN37" s="20">
        <v>173453.16</v>
      </c>
      <c r="BO37" s="20">
        <v>2869.59</v>
      </c>
      <c r="BP37" s="20">
        <v>0</v>
      </c>
      <c r="BQ37" s="28">
        <f>'FY21 Final Initial $$'!BQ37/'FY21 FTE'!BQ$120</f>
        <v>0</v>
      </c>
      <c r="BR37" s="28">
        <f>'FY21 Final Initial $$'!BR37/'FY21 FTE'!BR$120</f>
        <v>0</v>
      </c>
      <c r="BS37" s="28">
        <f>'FY21 Final Initial $$'!BS37/'FY21 FTE'!BS$120</f>
        <v>0</v>
      </c>
      <c r="BT37" s="28">
        <f>'FY21 Final Initial $$'!BT37/'FY21 FTE'!BT$120</f>
        <v>0</v>
      </c>
      <c r="BU37" s="28">
        <f>'FY21 Final Initial $$'!BU37/'FY21 FTE'!BU$120</f>
        <v>0</v>
      </c>
      <c r="BV37" s="28">
        <f>'FY21 Final Initial $$'!BV37/'FY21 FTE'!BV$120</f>
        <v>0</v>
      </c>
      <c r="BW37" s="28">
        <f>'FY21 Final Initial $$'!BW37/'FY21 FTE'!BW$120</f>
        <v>0</v>
      </c>
      <c r="BX37" s="20">
        <v>0</v>
      </c>
      <c r="BY37" s="20">
        <v>0</v>
      </c>
      <c r="BZ37" s="20">
        <v>0</v>
      </c>
      <c r="CA37" s="20">
        <v>0</v>
      </c>
      <c r="CB37" s="28">
        <f>'FY21 Final Initial $$'!CB37/'FY21 FTE'!CB$120</f>
        <v>0</v>
      </c>
      <c r="CC37" s="28">
        <f>'FY21 Final Initial $$'!CC37/'FY21 FTE'!CC$120</f>
        <v>0</v>
      </c>
      <c r="CD37" s="20">
        <v>0</v>
      </c>
      <c r="CE37" s="28">
        <f>'FY21 Final Initial $$'!CE37/'FY21 FTE'!CE$120</f>
        <v>0</v>
      </c>
      <c r="CF37" s="28">
        <f>'FY21 Final Initial $$'!CF37/'FY21 FTE'!CF$120</f>
        <v>0</v>
      </c>
      <c r="CG37" s="28">
        <f>'FY21 Final Initial $$'!CG37/'FY21 FTE'!CG$120</f>
        <v>0</v>
      </c>
      <c r="CH37" s="28">
        <f>'FY21 Final Initial $$'!CH37/'FY21 FTE'!CH$120</f>
        <v>0</v>
      </c>
      <c r="CI37" s="28">
        <f>'FY21 Final Initial $$'!CI37/'FY21 FTE'!CI$120</f>
        <v>0</v>
      </c>
      <c r="CJ37" s="28">
        <f>'FY21 Final Initial $$'!CJ37/'FY21 FTE'!CJ$120</f>
        <v>0</v>
      </c>
      <c r="CK37" s="28">
        <f>'FY21 Final Initial $$'!CK37/'FY21 FTE'!CK$120</f>
        <v>0</v>
      </c>
      <c r="CL37" s="28">
        <f>'FY21 Final Initial $$'!CL37/'FY21 FTE'!CL$120</f>
        <v>0</v>
      </c>
      <c r="CM37" s="20">
        <v>0</v>
      </c>
      <c r="CN37" s="20">
        <v>0</v>
      </c>
      <c r="CO37" s="20">
        <v>55921.759999999995</v>
      </c>
      <c r="CP37" s="20">
        <v>0</v>
      </c>
      <c r="CQ37" s="28">
        <f>'FY21 Final Initial $$'!CQ37/'FY21 FTE'!CQ$120</f>
        <v>0</v>
      </c>
      <c r="CR37" s="20">
        <v>0</v>
      </c>
      <c r="CS37" s="20">
        <v>4100</v>
      </c>
      <c r="CT37" s="20">
        <v>0</v>
      </c>
      <c r="CU37" s="20">
        <v>22994.201587301588</v>
      </c>
      <c r="CV37" s="28">
        <f>'FY21 Final Initial $$'!CV37/'FY21 FTE'!CV$120</f>
        <v>0</v>
      </c>
      <c r="CW37" s="28">
        <f>'FY21 Final Initial $$'!CW37/'FY21 FTE'!CW$120</f>
        <v>0</v>
      </c>
      <c r="CX37" s="20">
        <v>0</v>
      </c>
      <c r="CY37" s="28">
        <f>'FY21 Final Initial $$'!CY37/'FY21 FTE'!CY$120</f>
        <v>1</v>
      </c>
      <c r="CZ37" s="20">
        <v>0</v>
      </c>
      <c r="DA37" s="20">
        <v>0</v>
      </c>
      <c r="DB37" s="20">
        <v>40100</v>
      </c>
      <c r="DC37" s="20">
        <v>101965.8263388106</v>
      </c>
      <c r="DD37" s="20">
        <v>0</v>
      </c>
      <c r="DE37" s="20">
        <v>0</v>
      </c>
      <c r="DF37" s="20">
        <v>0</v>
      </c>
      <c r="DG37" s="20">
        <v>0</v>
      </c>
      <c r="DH37" s="28">
        <f>'FY21 Final Initial $$'!DH37/'FY21 FTE'!DH$120</f>
        <v>0</v>
      </c>
      <c r="DI37" s="20"/>
      <c r="DJ37" s="20">
        <v>10575</v>
      </c>
      <c r="DK37" s="22">
        <v>0</v>
      </c>
      <c r="DL37" s="20">
        <v>0</v>
      </c>
      <c r="DM37" s="20">
        <v>0</v>
      </c>
      <c r="DN37" s="20">
        <v>6859345.6525784163</v>
      </c>
      <c r="DO37" s="29">
        <f t="shared" si="1"/>
        <v>8</v>
      </c>
      <c r="DP37" s="29">
        <f t="shared" si="1"/>
        <v>8</v>
      </c>
      <c r="DQ37" s="29">
        <f t="shared" si="2"/>
        <v>12.000000000000004</v>
      </c>
      <c r="DR37" s="29">
        <f t="shared" si="3"/>
        <v>19.5</v>
      </c>
      <c r="DS37" s="29">
        <f t="shared" si="4"/>
        <v>4</v>
      </c>
    </row>
    <row r="38" spans="1:123" x14ac:dyDescent="0.25">
      <c r="A38" s="18">
        <v>246</v>
      </c>
      <c r="B38" t="s">
        <v>177</v>
      </c>
      <c r="C38" t="s">
        <v>152</v>
      </c>
      <c r="D38">
        <v>2</v>
      </c>
      <c r="E38">
        <v>505</v>
      </c>
      <c r="F38" s="19">
        <f t="shared" si="0"/>
        <v>0.18613861386138614</v>
      </c>
      <c r="G38">
        <v>94</v>
      </c>
      <c r="H38" s="28">
        <f>'FY21 Final Initial $$'!H38/'FY21 FTE'!H$120</f>
        <v>1</v>
      </c>
      <c r="I38" s="28">
        <f>'FY21 Final Initial $$'!I38/'FY21 FTE'!I$120</f>
        <v>1</v>
      </c>
      <c r="J38" s="28">
        <f>'FY21 Final Initial $$'!J38/'FY21 FTE'!J$120</f>
        <v>1.7</v>
      </c>
      <c r="K38" s="28">
        <f>'FY21 Final Initial $$'!K38/'FY21 FTE'!K$120</f>
        <v>1.3</v>
      </c>
      <c r="L38" s="28">
        <f>'FY21 Final Initial $$'!L38/'FY21 FTE'!L$120</f>
        <v>0</v>
      </c>
      <c r="M38" s="28">
        <f>'FY21 Final Initial $$'!M38/'FY21 FTE'!M$120</f>
        <v>1</v>
      </c>
      <c r="N38" s="28">
        <f>'FY21 Final Initial $$'!N38/'FY21 FTE'!N$120</f>
        <v>1</v>
      </c>
      <c r="O38" s="28">
        <f>'FY21 Final Initial $$'!O38/'FY21 FTE'!O$120</f>
        <v>1.3</v>
      </c>
      <c r="P38" s="28">
        <f>'FY21 Final Initial $$'!P38/'FY21 FTE'!P$120</f>
        <v>0</v>
      </c>
      <c r="Q38" s="28">
        <f>'FY21 Final Initial $$'!Q38/'FY21 FTE'!Q$120</f>
        <v>0</v>
      </c>
      <c r="R38" s="28">
        <f>'FY21 Final Initial $$'!R38/'FY21 FTE'!R$120</f>
        <v>0</v>
      </c>
      <c r="S38" s="28">
        <f>'FY21 Final Initial $$'!S38/'FY21 FTE'!S$120</f>
        <v>1</v>
      </c>
      <c r="T38" s="28">
        <f>'FY21 Final Initial $$'!T38/'FY21 FTE'!T$120</f>
        <v>1</v>
      </c>
      <c r="U38" s="28">
        <f>'FY21 Final Initial $$'!U38/'FY21 FTE'!U$120</f>
        <v>3</v>
      </c>
      <c r="V38" s="28">
        <f>'FY21 Final Initial $$'!V38/'FY21 FTE'!V$120</f>
        <v>1</v>
      </c>
      <c r="W38" s="28">
        <f>'FY21 Final Initial $$'!W38/'FY21 FTE'!W$120</f>
        <v>0</v>
      </c>
      <c r="X38" s="28">
        <f>'FY21 Final Initial $$'!X38/'FY21 FTE'!X$120</f>
        <v>0</v>
      </c>
      <c r="Y38" s="28">
        <f>'FY21 Final Initial $$'!Y38/'FY21 FTE'!Y$120</f>
        <v>0</v>
      </c>
      <c r="Z38" s="28">
        <f>'FY21 Final Initial $$'!Z38/'FY21 FTE'!Z$120</f>
        <v>0</v>
      </c>
      <c r="AA38" s="28">
        <f>'FY21 Final Initial $$'!AA38/'FY21 FTE'!AA$120</f>
        <v>0</v>
      </c>
      <c r="AB38" s="28">
        <f>'FY21 Final Initial $$'!AB38/'FY21 FTE'!AB$120</f>
        <v>0</v>
      </c>
      <c r="AC38" s="28">
        <f>'FY21 Final Initial $$'!AC38/'FY21 FTE'!AC$120</f>
        <v>0</v>
      </c>
      <c r="AD38" s="28">
        <f>'FY21 Final Initial $$'!AD38/'FY21 FTE'!AD$120</f>
        <v>0</v>
      </c>
      <c r="AE38" s="28">
        <f>'FY21 Final Initial $$'!AE38/'FY21 FTE'!AE$120</f>
        <v>0</v>
      </c>
      <c r="AF38" s="28">
        <f>'FY21 Final Initial $$'!AF38/'FY21 FTE'!AF$120</f>
        <v>0</v>
      </c>
      <c r="AG38" s="28">
        <f>'FY21 Final Initial $$'!AG38/'FY21 FTE'!AG$120</f>
        <v>0</v>
      </c>
      <c r="AH38" s="28">
        <f>'FY21 Final Initial $$'!AH38/'FY21 FTE'!AH$120</f>
        <v>0</v>
      </c>
      <c r="AI38" s="28">
        <f>'FY21 Final Initial $$'!AI38/'FY21 FTE'!AI$120</f>
        <v>0</v>
      </c>
      <c r="AJ38" s="28">
        <f>'FY21 Final Initial $$'!AJ38/'FY21 FTE'!AJ$120</f>
        <v>0</v>
      </c>
      <c r="AK38" s="28">
        <f>'FY21 Final Initial $$'!AK38/'FY21 FTE'!AK$120</f>
        <v>0</v>
      </c>
      <c r="AL38" s="28">
        <f>'FY21 Final Initial $$'!AL38/'FY21 FTE'!AL$120</f>
        <v>0</v>
      </c>
      <c r="AM38" s="28">
        <f>'FY21 Final Initial $$'!AM38/'FY21 FTE'!AM$120</f>
        <v>0</v>
      </c>
      <c r="AN38" s="28">
        <f>'FY21 Final Initial $$'!AN38/'FY21 FTE'!AN$120</f>
        <v>0</v>
      </c>
      <c r="AO38" s="28">
        <f>'FY21 Final Initial $$'!AO38/'FY21 FTE'!AO$120</f>
        <v>7.7</v>
      </c>
      <c r="AP38" s="28">
        <f>'FY21 Final Initial $$'!AP38/'FY21 FTE'!AP$120</f>
        <v>7.7</v>
      </c>
      <c r="AQ38" s="28">
        <f>'FY21 Final Initial $$'!AQ38/'FY21 FTE'!AQ$120</f>
        <v>7.5</v>
      </c>
      <c r="AR38" s="28">
        <f>'FY21 Final Initial $$'!AR38/'FY21 FTE'!AR$120</f>
        <v>0</v>
      </c>
      <c r="AS38" s="28">
        <f>'FY21 Final Initial $$'!AS38/'FY21 FTE'!AS$120</f>
        <v>0</v>
      </c>
      <c r="AT38" s="28">
        <f>'FY21 Final Initial $$'!AT38/'FY21 FTE'!AT$120</f>
        <v>0</v>
      </c>
      <c r="AU38" s="28">
        <f>'FY21 Final Initial $$'!AU38/'FY21 FTE'!AU$120</f>
        <v>0</v>
      </c>
      <c r="AV38" s="28">
        <f>'FY21 Final Initial $$'!AV38/'FY21 FTE'!AV$120</f>
        <v>0</v>
      </c>
      <c r="AW38" s="28">
        <f>'FY21 Final Initial $$'!AW38/'FY21 FTE'!AW$120</f>
        <v>0</v>
      </c>
      <c r="AX38" s="28">
        <f>'FY21 Final Initial $$'!AX38/'FY21 FTE'!AX$120</f>
        <v>0</v>
      </c>
      <c r="AY38" s="28">
        <f>'FY21 Final Initial $$'!AY38/'FY21 FTE'!AY$120</f>
        <v>1</v>
      </c>
      <c r="AZ38" s="28">
        <f>'FY21 Final Initial $$'!AZ38/'FY21 FTE'!AZ$120</f>
        <v>2</v>
      </c>
      <c r="BA38" s="28">
        <f>'FY21 Final Initial $$'!BA38/'FY21 FTE'!BA$120</f>
        <v>9</v>
      </c>
      <c r="BB38" s="28">
        <f>'FY21 Final Initial $$'!BB38/'FY21 FTE'!BB$120</f>
        <v>4</v>
      </c>
      <c r="BC38" s="28">
        <f>'FY21 Final Initial $$'!BC38/'FY21 FTE'!BC$120</f>
        <v>0</v>
      </c>
      <c r="BD38" s="28">
        <f>'FY21 Final Initial $$'!BD38/'FY21 FTE'!BD$120</f>
        <v>0</v>
      </c>
      <c r="BE38" s="28">
        <f>'FY21 Final Initial $$'!BE38/'FY21 FTE'!BE$120</f>
        <v>1</v>
      </c>
      <c r="BF38" s="28">
        <f>'FY21 Final Initial $$'!BF38/'FY21 FTE'!BF$120</f>
        <v>0</v>
      </c>
      <c r="BG38" s="28">
        <f>'FY21 Final Initial $$'!BG38/'FY21 FTE'!BG$120</f>
        <v>0</v>
      </c>
      <c r="BH38" s="28">
        <f>'FY21 Final Initial $$'!BH38/'FY21 FTE'!BH$120</f>
        <v>0</v>
      </c>
      <c r="BI38" s="28">
        <f>'FY21 Final Initial $$'!BI38/'FY21 FTE'!BI$120</f>
        <v>0</v>
      </c>
      <c r="BJ38" s="28">
        <f>'FY21 Final Initial $$'!BJ38/'FY21 FTE'!BJ$120</f>
        <v>0</v>
      </c>
      <c r="BK38" s="20">
        <v>0</v>
      </c>
      <c r="BL38" s="20"/>
      <c r="BM38" s="20"/>
      <c r="BN38" s="20">
        <v>0</v>
      </c>
      <c r="BO38" s="20">
        <v>0</v>
      </c>
      <c r="BP38" s="20">
        <v>11850</v>
      </c>
      <c r="BQ38" s="28">
        <f>'FY21 Final Initial $$'!BQ38/'FY21 FTE'!BQ$120</f>
        <v>0</v>
      </c>
      <c r="BR38" s="28">
        <f>'FY21 Final Initial $$'!BR38/'FY21 FTE'!BR$120</f>
        <v>1</v>
      </c>
      <c r="BS38" s="28">
        <f>'FY21 Final Initial $$'!BS38/'FY21 FTE'!BS$120</f>
        <v>0</v>
      </c>
      <c r="BT38" s="28">
        <f>'FY21 Final Initial $$'!BT38/'FY21 FTE'!BT$120</f>
        <v>0</v>
      </c>
      <c r="BU38" s="28">
        <f>'FY21 Final Initial $$'!BU38/'FY21 FTE'!BU$120</f>
        <v>0</v>
      </c>
      <c r="BV38" s="28">
        <f>'FY21 Final Initial $$'!BV38/'FY21 FTE'!BV$120</f>
        <v>0</v>
      </c>
      <c r="BW38" s="28">
        <f>'FY21 Final Initial $$'!BW38/'FY21 FTE'!BW$120</f>
        <v>0</v>
      </c>
      <c r="BX38" s="20">
        <v>0</v>
      </c>
      <c r="BY38" s="20">
        <v>0</v>
      </c>
      <c r="BZ38" s="20">
        <v>0</v>
      </c>
      <c r="CA38" s="20">
        <v>0</v>
      </c>
      <c r="CB38" s="28">
        <f>'FY21 Final Initial $$'!CB38/'FY21 FTE'!CB$120</f>
        <v>0</v>
      </c>
      <c r="CC38" s="28">
        <f>'FY21 Final Initial $$'!CC38/'FY21 FTE'!CC$120</f>
        <v>0</v>
      </c>
      <c r="CD38" s="20">
        <v>0</v>
      </c>
      <c r="CE38" s="28">
        <f>'FY21 Final Initial $$'!CE38/'FY21 FTE'!CE$120</f>
        <v>0</v>
      </c>
      <c r="CF38" s="28">
        <f>'FY21 Final Initial $$'!CF38/'FY21 FTE'!CF$120</f>
        <v>0</v>
      </c>
      <c r="CG38" s="28">
        <f>'FY21 Final Initial $$'!CG38/'FY21 FTE'!CG$120</f>
        <v>0</v>
      </c>
      <c r="CH38" s="28">
        <f>'FY21 Final Initial $$'!CH38/'FY21 FTE'!CH$120</f>
        <v>0</v>
      </c>
      <c r="CI38" s="28">
        <f>'FY21 Final Initial $$'!CI38/'FY21 FTE'!CI$120</f>
        <v>0</v>
      </c>
      <c r="CJ38" s="28">
        <f>'FY21 Final Initial $$'!CJ38/'FY21 FTE'!CJ$120</f>
        <v>0</v>
      </c>
      <c r="CK38" s="28">
        <f>'FY21 Final Initial $$'!CK38/'FY21 FTE'!CK$120</f>
        <v>3</v>
      </c>
      <c r="CL38" s="28">
        <f>'FY21 Final Initial $$'!CL38/'FY21 FTE'!CL$120</f>
        <v>0</v>
      </c>
      <c r="CM38" s="20">
        <v>23000</v>
      </c>
      <c r="CN38" s="20">
        <v>5000</v>
      </c>
      <c r="CO38" s="20">
        <v>244045.91999999998</v>
      </c>
      <c r="CP38" s="20">
        <v>100000</v>
      </c>
      <c r="CQ38" s="28">
        <f>'FY21 Final Initial $$'!CQ38/'FY21 FTE'!CQ$120</f>
        <v>0</v>
      </c>
      <c r="CR38" s="20">
        <v>0</v>
      </c>
      <c r="CS38" s="20">
        <v>0</v>
      </c>
      <c r="CT38" s="20">
        <v>77760</v>
      </c>
      <c r="CU38" s="20">
        <v>37847.128865979379</v>
      </c>
      <c r="CV38" s="28">
        <f>'FY21 Final Initial $$'!CV38/'FY21 FTE'!CV$120</f>
        <v>0</v>
      </c>
      <c r="CW38" s="28">
        <f>'FY21 Final Initial $$'!CW38/'FY21 FTE'!CW$120</f>
        <v>0</v>
      </c>
      <c r="CX38" s="20">
        <v>0</v>
      </c>
      <c r="CY38" s="28">
        <f>'FY21 Final Initial $$'!CY38/'FY21 FTE'!CY$120</f>
        <v>0</v>
      </c>
      <c r="CZ38" s="20">
        <v>0</v>
      </c>
      <c r="DA38" s="20">
        <v>0</v>
      </c>
      <c r="DB38" s="20">
        <v>50500</v>
      </c>
      <c r="DC38" s="20">
        <v>97373.068615894415</v>
      </c>
      <c r="DD38" s="20">
        <v>0</v>
      </c>
      <c r="DE38" s="20">
        <v>0</v>
      </c>
      <c r="DF38" s="20">
        <v>0</v>
      </c>
      <c r="DG38" s="20">
        <v>0</v>
      </c>
      <c r="DH38" s="28">
        <f>'FY21 Final Initial $$'!DH38/'FY21 FTE'!DH$120</f>
        <v>0</v>
      </c>
      <c r="DI38" s="20"/>
      <c r="DJ38" s="20">
        <v>15074.999956414104</v>
      </c>
      <c r="DK38" s="22">
        <v>0</v>
      </c>
      <c r="DL38" s="20">
        <v>0</v>
      </c>
      <c r="DM38" s="20">
        <v>0</v>
      </c>
      <c r="DN38" s="20">
        <v>6532707.8016553326</v>
      </c>
      <c r="DO38" s="29">
        <f t="shared" si="1"/>
        <v>0</v>
      </c>
      <c r="DP38" s="29">
        <f t="shared" si="1"/>
        <v>0</v>
      </c>
      <c r="DQ38" s="29">
        <f t="shared" si="2"/>
        <v>22.9</v>
      </c>
      <c r="DR38" s="29">
        <f t="shared" si="3"/>
        <v>13</v>
      </c>
      <c r="DS38" s="29">
        <f t="shared" si="4"/>
        <v>4</v>
      </c>
    </row>
    <row r="39" spans="1:123" x14ac:dyDescent="0.25">
      <c r="A39" s="18">
        <v>413</v>
      </c>
      <c r="B39" t="s">
        <v>178</v>
      </c>
      <c r="C39" t="s">
        <v>152</v>
      </c>
      <c r="D39">
        <v>8</v>
      </c>
      <c r="E39">
        <v>453</v>
      </c>
      <c r="F39" s="19">
        <f t="shared" si="0"/>
        <v>0.67770419426048567</v>
      </c>
      <c r="G39">
        <v>307</v>
      </c>
      <c r="H39" s="28">
        <f>'FY21 Final Initial $$'!H39/'FY21 FTE'!H$120</f>
        <v>1</v>
      </c>
      <c r="I39" s="28">
        <f>'FY21 Final Initial $$'!I39/'FY21 FTE'!I$120</f>
        <v>1</v>
      </c>
      <c r="J39" s="28">
        <f>'FY21 Final Initial $$'!J39/'FY21 FTE'!J$120</f>
        <v>1.5</v>
      </c>
      <c r="K39" s="28">
        <f>'FY21 Final Initial $$'!K39/'FY21 FTE'!K$120</f>
        <v>1.1000000000000001</v>
      </c>
      <c r="L39" s="28">
        <f>'FY21 Final Initial $$'!L39/'FY21 FTE'!L$120</f>
        <v>0</v>
      </c>
      <c r="M39" s="28">
        <f>'FY21 Final Initial $$'!M39/'FY21 FTE'!M$120</f>
        <v>1</v>
      </c>
      <c r="N39" s="28">
        <f>'FY21 Final Initial $$'!N39/'FY21 FTE'!N$120</f>
        <v>1</v>
      </c>
      <c r="O39" s="28">
        <f>'FY21 Final Initial $$'!O39/'FY21 FTE'!O$120</f>
        <v>1.1000000000000001</v>
      </c>
      <c r="P39" s="28">
        <f>'FY21 Final Initial $$'!P39/'FY21 FTE'!P$120</f>
        <v>0</v>
      </c>
      <c r="Q39" s="28">
        <f>'FY21 Final Initial $$'!Q39/'FY21 FTE'!Q$120</f>
        <v>1.0000004487061702</v>
      </c>
      <c r="R39" s="28">
        <f>'FY21 Final Initial $$'!R39/'FY21 FTE'!R$120</f>
        <v>0</v>
      </c>
      <c r="S39" s="28">
        <f>'FY21 Final Initial $$'!S39/'FY21 FTE'!S$120</f>
        <v>1</v>
      </c>
      <c r="T39" s="28">
        <f>'FY21 Final Initial $$'!T39/'FY21 FTE'!T$120</f>
        <v>1</v>
      </c>
      <c r="U39" s="28">
        <f>'FY21 Final Initial $$'!U39/'FY21 FTE'!U$120</f>
        <v>5</v>
      </c>
      <c r="V39" s="28">
        <f>'FY21 Final Initial $$'!V39/'FY21 FTE'!V$120</f>
        <v>1</v>
      </c>
      <c r="W39" s="28">
        <f>'FY21 Final Initial $$'!W39/'FY21 FTE'!W$120</f>
        <v>0</v>
      </c>
      <c r="X39" s="28">
        <f>'FY21 Final Initial $$'!X39/'FY21 FTE'!X$120</f>
        <v>0</v>
      </c>
      <c r="Y39" s="28">
        <f>'FY21 Final Initial $$'!Y39/'FY21 FTE'!Y$120</f>
        <v>0</v>
      </c>
      <c r="Z39" s="28">
        <f>'FY21 Final Initial $$'!Z39/'FY21 FTE'!Z$120</f>
        <v>0</v>
      </c>
      <c r="AA39" s="28">
        <f>'FY21 Final Initial $$'!AA39/'FY21 FTE'!AA$120</f>
        <v>0</v>
      </c>
      <c r="AB39" s="28">
        <f>'FY21 Final Initial $$'!AB39/'FY21 FTE'!AB$120</f>
        <v>0</v>
      </c>
      <c r="AC39" s="28">
        <f>'FY21 Final Initial $$'!AC39/'FY21 FTE'!AC$120</f>
        <v>0</v>
      </c>
      <c r="AD39" s="28">
        <f>'FY21 Final Initial $$'!AD39/'FY21 FTE'!AD$120</f>
        <v>0</v>
      </c>
      <c r="AE39" s="28">
        <f>'FY21 Final Initial $$'!AE39/'FY21 FTE'!AE$120</f>
        <v>0</v>
      </c>
      <c r="AF39" s="28">
        <f>'FY21 Final Initial $$'!AF39/'FY21 FTE'!AF$120</f>
        <v>0</v>
      </c>
      <c r="AG39" s="28">
        <f>'FY21 Final Initial $$'!AG39/'FY21 FTE'!AG$120</f>
        <v>0</v>
      </c>
      <c r="AH39" s="28">
        <f>'FY21 Final Initial $$'!AH39/'FY21 FTE'!AH$120</f>
        <v>0</v>
      </c>
      <c r="AI39" s="28">
        <f>'FY21 Final Initial $$'!AI39/'FY21 FTE'!AI$120</f>
        <v>0</v>
      </c>
      <c r="AJ39" s="28">
        <f>'FY21 Final Initial $$'!AJ39/'FY21 FTE'!AJ$120</f>
        <v>0</v>
      </c>
      <c r="AK39" s="28">
        <f>'FY21 Final Initial $$'!AK39/'FY21 FTE'!AK$120</f>
        <v>0</v>
      </c>
      <c r="AL39" s="28">
        <f>'FY21 Final Initial $$'!AL39/'FY21 FTE'!AL$120</f>
        <v>0</v>
      </c>
      <c r="AM39" s="28">
        <f>'FY21 Final Initial $$'!AM39/'FY21 FTE'!AM$120</f>
        <v>0</v>
      </c>
      <c r="AN39" s="28">
        <f>'FY21 Final Initial $$'!AN39/'FY21 FTE'!AN$120</f>
        <v>0</v>
      </c>
      <c r="AO39" s="28">
        <f>'FY21 Final Initial $$'!AO39/'FY21 FTE'!AO$120</f>
        <v>7.3</v>
      </c>
      <c r="AP39" s="28">
        <f>'FY21 Final Initial $$'!AP39/'FY21 FTE'!AP$120</f>
        <v>6.5</v>
      </c>
      <c r="AQ39" s="28">
        <f>'FY21 Final Initial $$'!AQ39/'FY21 FTE'!AQ$120</f>
        <v>6.9</v>
      </c>
      <c r="AR39" s="28">
        <f>'FY21 Final Initial $$'!AR39/'FY21 FTE'!AR$120</f>
        <v>0</v>
      </c>
      <c r="AS39" s="28">
        <f>'FY21 Final Initial $$'!AS39/'FY21 FTE'!AS$120</f>
        <v>0</v>
      </c>
      <c r="AT39" s="28">
        <f>'FY21 Final Initial $$'!AT39/'FY21 FTE'!AT$120</f>
        <v>0</v>
      </c>
      <c r="AU39" s="28">
        <f>'FY21 Final Initial $$'!AU39/'FY21 FTE'!AU$120</f>
        <v>0</v>
      </c>
      <c r="AV39" s="28">
        <f>'FY21 Final Initial $$'!AV39/'FY21 FTE'!AV$120</f>
        <v>0</v>
      </c>
      <c r="AW39" s="28">
        <f>'FY21 Final Initial $$'!AW39/'FY21 FTE'!AW$120</f>
        <v>0</v>
      </c>
      <c r="AX39" s="28">
        <f>'FY21 Final Initial $$'!AX39/'FY21 FTE'!AX$120</f>
        <v>0</v>
      </c>
      <c r="AY39" s="28">
        <f>'FY21 Final Initial $$'!AY39/'FY21 FTE'!AY$120</f>
        <v>1</v>
      </c>
      <c r="AZ39" s="28">
        <f>'FY21 Final Initial $$'!AZ39/'FY21 FTE'!AZ$120</f>
        <v>3</v>
      </c>
      <c r="BA39" s="28">
        <f>'FY21 Final Initial $$'!BA39/'FY21 FTE'!BA$120</f>
        <v>10</v>
      </c>
      <c r="BB39" s="28">
        <f>'FY21 Final Initial $$'!BB39/'FY21 FTE'!BB$120</f>
        <v>6</v>
      </c>
      <c r="BC39" s="28">
        <f>'FY21 Final Initial $$'!BC39/'FY21 FTE'!BC$120</f>
        <v>1</v>
      </c>
      <c r="BD39" s="28">
        <f>'FY21 Final Initial $$'!BD39/'FY21 FTE'!BD$120</f>
        <v>0</v>
      </c>
      <c r="BE39" s="28">
        <f>'FY21 Final Initial $$'!BE39/'FY21 FTE'!BE$120</f>
        <v>0.31818181818181818</v>
      </c>
      <c r="BF39" s="28">
        <f>'FY21 Final Initial $$'!BF39/'FY21 FTE'!BF$120</f>
        <v>0</v>
      </c>
      <c r="BG39" s="28">
        <f>'FY21 Final Initial $$'!BG39/'FY21 FTE'!BG$120</f>
        <v>0</v>
      </c>
      <c r="BH39" s="28">
        <f>'FY21 Final Initial $$'!BH39/'FY21 FTE'!BH$120</f>
        <v>3</v>
      </c>
      <c r="BI39" s="28">
        <f>'FY21 Final Initial $$'!BI39/'FY21 FTE'!BI$120</f>
        <v>3</v>
      </c>
      <c r="BJ39" s="28">
        <f>'FY21 Final Initial $$'!BJ39/'FY21 FTE'!BJ$120</f>
        <v>1</v>
      </c>
      <c r="BK39" s="20">
        <v>0</v>
      </c>
      <c r="BL39" s="20"/>
      <c r="BM39" s="20"/>
      <c r="BN39" s="20">
        <v>182402.83</v>
      </c>
      <c r="BO39" s="20">
        <v>3017.65</v>
      </c>
      <c r="BP39" s="20">
        <v>0</v>
      </c>
      <c r="BQ39" s="28">
        <f>'FY21 Final Initial $$'!BQ39/'FY21 FTE'!BQ$120</f>
        <v>0</v>
      </c>
      <c r="BR39" s="28">
        <f>'FY21 Final Initial $$'!BR39/'FY21 FTE'!BR$120</f>
        <v>0</v>
      </c>
      <c r="BS39" s="28">
        <f>'FY21 Final Initial $$'!BS39/'FY21 FTE'!BS$120</f>
        <v>1</v>
      </c>
      <c r="BT39" s="28">
        <f>'FY21 Final Initial $$'!BT39/'FY21 FTE'!BT$120</f>
        <v>0</v>
      </c>
      <c r="BU39" s="28">
        <f>'FY21 Final Initial $$'!BU39/'FY21 FTE'!BU$120</f>
        <v>0</v>
      </c>
      <c r="BV39" s="28">
        <f>'FY21 Final Initial $$'!BV39/'FY21 FTE'!BV$120</f>
        <v>0</v>
      </c>
      <c r="BW39" s="28">
        <f>'FY21 Final Initial $$'!BW39/'FY21 FTE'!BW$120</f>
        <v>0</v>
      </c>
      <c r="BX39" s="20">
        <v>0</v>
      </c>
      <c r="BY39" s="20">
        <v>0</v>
      </c>
      <c r="BZ39" s="20">
        <v>0</v>
      </c>
      <c r="CA39" s="20">
        <v>0</v>
      </c>
      <c r="CB39" s="28">
        <f>'FY21 Final Initial $$'!CB39/'FY21 FTE'!CB$120</f>
        <v>0</v>
      </c>
      <c r="CC39" s="28">
        <f>'FY21 Final Initial $$'!CC39/'FY21 FTE'!CC$120</f>
        <v>0</v>
      </c>
      <c r="CD39" s="20">
        <v>0</v>
      </c>
      <c r="CE39" s="28">
        <f>'FY21 Final Initial $$'!CE39/'FY21 FTE'!CE$120</f>
        <v>0</v>
      </c>
      <c r="CF39" s="28">
        <f>'FY21 Final Initial $$'!CF39/'FY21 FTE'!CF$120</f>
        <v>0</v>
      </c>
      <c r="CG39" s="28">
        <f>'FY21 Final Initial $$'!CG39/'FY21 FTE'!CG$120</f>
        <v>0</v>
      </c>
      <c r="CH39" s="28">
        <f>'FY21 Final Initial $$'!CH39/'FY21 FTE'!CH$120</f>
        <v>0</v>
      </c>
      <c r="CI39" s="28">
        <f>'FY21 Final Initial $$'!CI39/'FY21 FTE'!CI$120</f>
        <v>0</v>
      </c>
      <c r="CJ39" s="28">
        <f>'FY21 Final Initial $$'!CJ39/'FY21 FTE'!CJ$120</f>
        <v>0</v>
      </c>
      <c r="CK39" s="28">
        <f>'FY21 Final Initial $$'!CK39/'FY21 FTE'!CK$120</f>
        <v>3</v>
      </c>
      <c r="CL39" s="28">
        <f>'FY21 Final Initial $$'!CL39/'FY21 FTE'!CL$120</f>
        <v>0</v>
      </c>
      <c r="CM39" s="20">
        <v>23000</v>
      </c>
      <c r="CN39" s="20">
        <v>5000</v>
      </c>
      <c r="CO39" s="20">
        <v>367238.58</v>
      </c>
      <c r="CP39" s="20">
        <v>100000</v>
      </c>
      <c r="CQ39" s="28">
        <f>'FY21 Final Initial $$'!CQ39/'FY21 FTE'!CQ$120</f>
        <v>0</v>
      </c>
      <c r="CR39" s="20">
        <v>0</v>
      </c>
      <c r="CS39" s="20">
        <v>6140</v>
      </c>
      <c r="CT39" s="20">
        <v>0</v>
      </c>
      <c r="CU39" s="20">
        <v>34271.973303167426</v>
      </c>
      <c r="CV39" s="28">
        <f>'FY21 Final Initial $$'!CV39/'FY21 FTE'!CV$120</f>
        <v>0</v>
      </c>
      <c r="CW39" s="28">
        <f>'FY21 Final Initial $$'!CW39/'FY21 FTE'!CW$120</f>
        <v>0</v>
      </c>
      <c r="CX39" s="20">
        <v>0</v>
      </c>
      <c r="CY39" s="28">
        <f>'FY21 Final Initial $$'!CY39/'FY21 FTE'!CY$120</f>
        <v>0</v>
      </c>
      <c r="CZ39" s="20">
        <v>0</v>
      </c>
      <c r="DA39" s="20">
        <v>0</v>
      </c>
      <c r="DB39" s="20">
        <v>45300</v>
      </c>
      <c r="DC39" s="20">
        <v>98810.10655900542</v>
      </c>
      <c r="DD39" s="20">
        <v>0</v>
      </c>
      <c r="DE39" s="20">
        <v>0</v>
      </c>
      <c r="DF39" s="20">
        <v>0</v>
      </c>
      <c r="DG39" s="20">
        <v>0</v>
      </c>
      <c r="DH39" s="28">
        <f>'FY21 Final Initial $$'!DH39/'FY21 FTE'!DH$120</f>
        <v>0</v>
      </c>
      <c r="DI39" s="20"/>
      <c r="DJ39" s="20">
        <v>64124.998100101948</v>
      </c>
      <c r="DK39" s="22">
        <v>0</v>
      </c>
      <c r="DL39" s="20">
        <v>0</v>
      </c>
      <c r="DM39" s="20">
        <v>50000</v>
      </c>
      <c r="DN39" s="20">
        <v>7084599.8372793803</v>
      </c>
      <c r="DO39" s="29">
        <f t="shared" si="1"/>
        <v>0</v>
      </c>
      <c r="DP39" s="29">
        <f t="shared" si="1"/>
        <v>0</v>
      </c>
      <c r="DQ39" s="29">
        <f t="shared" si="2"/>
        <v>20.700000000000003</v>
      </c>
      <c r="DR39" s="29">
        <f t="shared" si="3"/>
        <v>14.318181818181818</v>
      </c>
      <c r="DS39" s="29">
        <f t="shared" si="4"/>
        <v>6</v>
      </c>
    </row>
    <row r="40" spans="1:123" x14ac:dyDescent="0.25">
      <c r="A40" s="18">
        <v>258</v>
      </c>
      <c r="B40" t="s">
        <v>179</v>
      </c>
      <c r="C40" t="s">
        <v>135</v>
      </c>
      <c r="D40">
        <v>3</v>
      </c>
      <c r="E40">
        <v>356</v>
      </c>
      <c r="F40" s="19">
        <f t="shared" si="0"/>
        <v>6.741573033707865E-2</v>
      </c>
      <c r="G40">
        <v>24</v>
      </c>
      <c r="H40" s="28">
        <f>'FY21 Final Initial $$'!H40/'FY21 FTE'!H$120</f>
        <v>1</v>
      </c>
      <c r="I40" s="28">
        <f>'FY21 Final Initial $$'!I40/'FY21 FTE'!I$120</f>
        <v>1</v>
      </c>
      <c r="J40" s="28">
        <f>'FY21 Final Initial $$'!J40/'FY21 FTE'!J$120</f>
        <v>0.89999999999999991</v>
      </c>
      <c r="K40" s="28">
        <f>'FY21 Final Initial $$'!K40/'FY21 FTE'!K$120</f>
        <v>0</v>
      </c>
      <c r="L40" s="28">
        <f>'FY21 Final Initial $$'!L40/'FY21 FTE'!L$120</f>
        <v>0</v>
      </c>
      <c r="M40" s="28">
        <f>'FY21 Final Initial $$'!M40/'FY21 FTE'!M$120</f>
        <v>1</v>
      </c>
      <c r="N40" s="28">
        <f>'FY21 Final Initial $$'!N40/'FY21 FTE'!N$120</f>
        <v>1</v>
      </c>
      <c r="O40" s="28">
        <f>'FY21 Final Initial $$'!O40/'FY21 FTE'!O$120</f>
        <v>0</v>
      </c>
      <c r="P40" s="28">
        <f>'FY21 Final Initial $$'!P40/'FY21 FTE'!P$120</f>
        <v>0</v>
      </c>
      <c r="Q40" s="28">
        <f>'FY21 Final Initial $$'!Q40/'FY21 FTE'!Q$120</f>
        <v>0</v>
      </c>
      <c r="R40" s="28">
        <f>'FY21 Final Initial $$'!R40/'FY21 FTE'!R$120</f>
        <v>0</v>
      </c>
      <c r="S40" s="28">
        <f>'FY21 Final Initial $$'!S40/'FY21 FTE'!S$120</f>
        <v>1</v>
      </c>
      <c r="T40" s="28">
        <f>'FY21 Final Initial $$'!T40/'FY21 FTE'!T$120</f>
        <v>1</v>
      </c>
      <c r="U40" s="28">
        <f>'FY21 Final Initial $$'!U40/'FY21 FTE'!U$120</f>
        <v>2</v>
      </c>
      <c r="V40" s="28">
        <f>'FY21 Final Initial $$'!V40/'FY21 FTE'!V$120</f>
        <v>1</v>
      </c>
      <c r="W40" s="28">
        <f>'FY21 Final Initial $$'!W40/'FY21 FTE'!W$120</f>
        <v>1</v>
      </c>
      <c r="X40" s="28">
        <f>'FY21 Final Initial $$'!X40/'FY21 FTE'!X$120</f>
        <v>1</v>
      </c>
      <c r="Y40" s="28">
        <f>'FY21 Final Initial $$'!Y40/'FY21 FTE'!Y$120</f>
        <v>1</v>
      </c>
      <c r="Z40" s="28">
        <f>'FY21 Final Initial $$'!Z40/'FY21 FTE'!Z$120</f>
        <v>0</v>
      </c>
      <c r="AA40" s="28">
        <f>'FY21 Final Initial $$'!AA40/'FY21 FTE'!AA$120</f>
        <v>0</v>
      </c>
      <c r="AB40" s="28">
        <f>'FY21 Final Initial $$'!AB40/'FY21 FTE'!AB$120</f>
        <v>0</v>
      </c>
      <c r="AC40" s="28">
        <f>'FY21 Final Initial $$'!AC40/'FY21 FTE'!AC$120</f>
        <v>0</v>
      </c>
      <c r="AD40" s="28">
        <f>'FY21 Final Initial $$'!AD40/'FY21 FTE'!AD$120</f>
        <v>0</v>
      </c>
      <c r="AE40" s="28">
        <f>'FY21 Final Initial $$'!AE40/'FY21 FTE'!AE$120</f>
        <v>0</v>
      </c>
      <c r="AF40" s="28">
        <f>'FY21 Final Initial $$'!AF40/'FY21 FTE'!AF$120</f>
        <v>2</v>
      </c>
      <c r="AG40" s="28">
        <f>'FY21 Final Initial $$'!AG40/'FY21 FTE'!AG$120</f>
        <v>2</v>
      </c>
      <c r="AH40" s="28">
        <f>'FY21 Final Initial $$'!AH40/'FY21 FTE'!AH$120</f>
        <v>3</v>
      </c>
      <c r="AI40" s="28">
        <f>'FY21 Final Initial $$'!AI40/'FY21 FTE'!AI$120</f>
        <v>3</v>
      </c>
      <c r="AJ40" s="28">
        <f>'FY21 Final Initial $$'!AJ40/'FY21 FTE'!AJ$120</f>
        <v>3</v>
      </c>
      <c r="AK40" s="28">
        <f>'FY21 Final Initial $$'!AK40/'FY21 FTE'!AK$120</f>
        <v>2</v>
      </c>
      <c r="AL40" s="28">
        <f>'FY21 Final Initial $$'!AL40/'FY21 FTE'!AL$120</f>
        <v>3</v>
      </c>
      <c r="AM40" s="28">
        <f>'FY21 Final Initial $$'!AM40/'FY21 FTE'!AM$120</f>
        <v>2</v>
      </c>
      <c r="AN40" s="28">
        <f>'FY21 Final Initial $$'!AN40/'FY21 FTE'!AN$120</f>
        <v>2.0000000000000027</v>
      </c>
      <c r="AO40" s="28">
        <f>'FY21 Final Initial $$'!AO40/'FY21 FTE'!AO$120</f>
        <v>0</v>
      </c>
      <c r="AP40" s="28">
        <f>'FY21 Final Initial $$'!AP40/'FY21 FTE'!AP$120</f>
        <v>0</v>
      </c>
      <c r="AQ40" s="28">
        <f>'FY21 Final Initial $$'!AQ40/'FY21 FTE'!AQ$120</f>
        <v>0</v>
      </c>
      <c r="AR40" s="28">
        <f>'FY21 Final Initial $$'!AR40/'FY21 FTE'!AR$120</f>
        <v>0</v>
      </c>
      <c r="AS40" s="28">
        <f>'FY21 Final Initial $$'!AS40/'FY21 FTE'!AS$120</f>
        <v>0</v>
      </c>
      <c r="AT40" s="28">
        <f>'FY21 Final Initial $$'!AT40/'FY21 FTE'!AT$120</f>
        <v>0</v>
      </c>
      <c r="AU40" s="28">
        <f>'FY21 Final Initial $$'!AU40/'FY21 FTE'!AU$120</f>
        <v>0</v>
      </c>
      <c r="AV40" s="28">
        <f>'FY21 Final Initial $$'!AV40/'FY21 FTE'!AV$120</f>
        <v>0</v>
      </c>
      <c r="AW40" s="28">
        <f>'FY21 Final Initial $$'!AW40/'FY21 FTE'!AW$120</f>
        <v>0</v>
      </c>
      <c r="AX40" s="28">
        <f>'FY21 Final Initial $$'!AX40/'FY21 FTE'!AX$120</f>
        <v>0</v>
      </c>
      <c r="AY40" s="28">
        <f>'FY21 Final Initial $$'!AY40/'FY21 FTE'!AY$120</f>
        <v>1</v>
      </c>
      <c r="AZ40" s="28">
        <f>'FY21 Final Initial $$'!AZ40/'FY21 FTE'!AZ$120</f>
        <v>1</v>
      </c>
      <c r="BA40" s="28">
        <f>'FY21 Final Initial $$'!BA40/'FY21 FTE'!BA$120</f>
        <v>6</v>
      </c>
      <c r="BB40" s="28">
        <f>'FY21 Final Initial $$'!BB40/'FY21 FTE'!BB$120</f>
        <v>6</v>
      </c>
      <c r="BC40" s="28">
        <f>'FY21 Final Initial $$'!BC40/'FY21 FTE'!BC$120</f>
        <v>0</v>
      </c>
      <c r="BD40" s="28">
        <f>'FY21 Final Initial $$'!BD40/'FY21 FTE'!BD$120</f>
        <v>0</v>
      </c>
      <c r="BE40" s="28">
        <f>'FY21 Final Initial $$'!BE40/'FY21 FTE'!BE$120</f>
        <v>4</v>
      </c>
      <c r="BF40" s="28">
        <f>'FY21 Final Initial $$'!BF40/'FY21 FTE'!BF$120</f>
        <v>0</v>
      </c>
      <c r="BG40" s="28">
        <f>'FY21 Final Initial $$'!BG40/'FY21 FTE'!BG$120</f>
        <v>0</v>
      </c>
      <c r="BH40" s="28">
        <f>'FY21 Final Initial $$'!BH40/'FY21 FTE'!BH$120</f>
        <v>0</v>
      </c>
      <c r="BI40" s="28">
        <f>'FY21 Final Initial $$'!BI40/'FY21 FTE'!BI$120</f>
        <v>0</v>
      </c>
      <c r="BJ40" s="28">
        <f>'FY21 Final Initial $$'!BJ40/'FY21 FTE'!BJ$120</f>
        <v>0</v>
      </c>
      <c r="BK40" s="20">
        <v>0</v>
      </c>
      <c r="BL40" s="20"/>
      <c r="BM40" s="20"/>
      <c r="BN40" s="20">
        <v>0</v>
      </c>
      <c r="BO40" s="20">
        <v>0</v>
      </c>
      <c r="BP40" s="20">
        <v>8500</v>
      </c>
      <c r="BQ40" s="28">
        <f>'FY21 Final Initial $$'!BQ40/'FY21 FTE'!BQ$120</f>
        <v>0</v>
      </c>
      <c r="BR40" s="28">
        <f>'FY21 Final Initial $$'!BR40/'FY21 FTE'!BR$120</f>
        <v>0</v>
      </c>
      <c r="BS40" s="28">
        <f>'FY21 Final Initial $$'!BS40/'FY21 FTE'!BS$120</f>
        <v>0</v>
      </c>
      <c r="BT40" s="28">
        <f>'FY21 Final Initial $$'!BT40/'FY21 FTE'!BT$120</f>
        <v>0</v>
      </c>
      <c r="BU40" s="28">
        <f>'FY21 Final Initial $$'!BU40/'FY21 FTE'!BU$120</f>
        <v>0</v>
      </c>
      <c r="BV40" s="28">
        <f>'FY21 Final Initial $$'!BV40/'FY21 FTE'!BV$120</f>
        <v>0</v>
      </c>
      <c r="BW40" s="28">
        <f>'FY21 Final Initial $$'!BW40/'FY21 FTE'!BW$120</f>
        <v>0</v>
      </c>
      <c r="BX40" s="20">
        <v>0</v>
      </c>
      <c r="BY40" s="20">
        <v>0</v>
      </c>
      <c r="BZ40" s="20">
        <v>0</v>
      </c>
      <c r="CA40" s="20">
        <v>0</v>
      </c>
      <c r="CB40" s="28">
        <f>'FY21 Final Initial $$'!CB40/'FY21 FTE'!CB$120</f>
        <v>0</v>
      </c>
      <c r="CC40" s="28">
        <f>'FY21 Final Initial $$'!CC40/'FY21 FTE'!CC$120</f>
        <v>0</v>
      </c>
      <c r="CD40" s="20">
        <v>0</v>
      </c>
      <c r="CE40" s="28">
        <f>'FY21 Final Initial $$'!CE40/'FY21 FTE'!CE$120</f>
        <v>0</v>
      </c>
      <c r="CF40" s="28">
        <f>'FY21 Final Initial $$'!CF40/'FY21 FTE'!CF$120</f>
        <v>0</v>
      </c>
      <c r="CG40" s="28">
        <f>'FY21 Final Initial $$'!CG40/'FY21 FTE'!CG$120</f>
        <v>0</v>
      </c>
      <c r="CH40" s="28">
        <f>'FY21 Final Initial $$'!CH40/'FY21 FTE'!CH$120</f>
        <v>0</v>
      </c>
      <c r="CI40" s="28">
        <f>'FY21 Final Initial $$'!CI40/'FY21 FTE'!CI$120</f>
        <v>0</v>
      </c>
      <c r="CJ40" s="28">
        <f>'FY21 Final Initial $$'!CJ40/'FY21 FTE'!CJ$120</f>
        <v>0</v>
      </c>
      <c r="CK40" s="28">
        <f>'FY21 Final Initial $$'!CK40/'FY21 FTE'!CK$120</f>
        <v>0</v>
      </c>
      <c r="CL40" s="28">
        <f>'FY21 Final Initial $$'!CL40/'FY21 FTE'!CL$120</f>
        <v>0</v>
      </c>
      <c r="CM40" s="20">
        <v>0</v>
      </c>
      <c r="CN40" s="20">
        <v>0</v>
      </c>
      <c r="CO40" s="20">
        <v>55921.759999999995</v>
      </c>
      <c r="CP40" s="20">
        <v>0</v>
      </c>
      <c r="CQ40" s="28">
        <f>'FY21 Final Initial $$'!CQ40/'FY21 FTE'!CQ$120</f>
        <v>0</v>
      </c>
      <c r="CR40" s="20">
        <v>0</v>
      </c>
      <c r="CS40" s="20">
        <v>0</v>
      </c>
      <c r="CT40" s="20">
        <v>0</v>
      </c>
      <c r="CU40" s="20">
        <v>18130.348837209302</v>
      </c>
      <c r="CV40" s="28">
        <f>'FY21 Final Initial $$'!CV40/'FY21 FTE'!CV$120</f>
        <v>0</v>
      </c>
      <c r="CW40" s="28">
        <f>'FY21 Final Initial $$'!CW40/'FY21 FTE'!CW$120</f>
        <v>0</v>
      </c>
      <c r="CX40" s="20">
        <v>0</v>
      </c>
      <c r="CY40" s="28">
        <f>'FY21 Final Initial $$'!CY40/'FY21 FTE'!CY$120</f>
        <v>0</v>
      </c>
      <c r="CZ40" s="20">
        <v>0</v>
      </c>
      <c r="DA40" s="20">
        <v>0</v>
      </c>
      <c r="DB40" s="20">
        <v>35600</v>
      </c>
      <c r="DC40" s="20">
        <v>78143.063506125633</v>
      </c>
      <c r="DD40" s="20">
        <v>0</v>
      </c>
      <c r="DE40" s="20">
        <v>0</v>
      </c>
      <c r="DF40" s="20">
        <v>0</v>
      </c>
      <c r="DG40" s="20">
        <v>0</v>
      </c>
      <c r="DH40" s="28">
        <f>'FY21 Final Initial $$'!DH40/'FY21 FTE'!DH$120</f>
        <v>0</v>
      </c>
      <c r="DI40" s="20"/>
      <c r="DJ40" s="20">
        <v>3325.0001147389412</v>
      </c>
      <c r="DK40" s="22">
        <v>0</v>
      </c>
      <c r="DL40" s="20">
        <v>0</v>
      </c>
      <c r="DM40" s="20">
        <v>0</v>
      </c>
      <c r="DN40" s="20">
        <v>5053226.6014099764</v>
      </c>
      <c r="DO40" s="29">
        <f t="shared" si="1"/>
        <v>5</v>
      </c>
      <c r="DP40" s="29">
        <f t="shared" si="1"/>
        <v>5</v>
      </c>
      <c r="DQ40" s="29">
        <f t="shared" si="2"/>
        <v>12.000000000000004</v>
      </c>
      <c r="DR40" s="29">
        <f t="shared" si="3"/>
        <v>12</v>
      </c>
      <c r="DS40" s="29">
        <f t="shared" si="4"/>
        <v>6</v>
      </c>
    </row>
    <row r="41" spans="1:123" x14ac:dyDescent="0.25">
      <c r="A41" s="18">
        <v>249</v>
      </c>
      <c r="B41" t="s">
        <v>180</v>
      </c>
      <c r="C41" t="s">
        <v>135</v>
      </c>
      <c r="D41">
        <v>8</v>
      </c>
      <c r="E41">
        <v>341</v>
      </c>
      <c r="F41" s="19">
        <f t="shared" si="0"/>
        <v>0.90322580645161288</v>
      </c>
      <c r="G41">
        <v>308</v>
      </c>
      <c r="H41" s="28">
        <f>'FY21 Final Initial $$'!H41/'FY21 FTE'!H$120</f>
        <v>1</v>
      </c>
      <c r="I41" s="28">
        <f>'FY21 Final Initial $$'!I41/'FY21 FTE'!I$120</f>
        <v>1</v>
      </c>
      <c r="J41" s="28">
        <f>'FY21 Final Initial $$'!J41/'FY21 FTE'!J$120</f>
        <v>0.89999999999999991</v>
      </c>
      <c r="K41" s="28">
        <f>'FY21 Final Initial $$'!K41/'FY21 FTE'!K$120</f>
        <v>0</v>
      </c>
      <c r="L41" s="28">
        <f>'FY21 Final Initial $$'!L41/'FY21 FTE'!L$120</f>
        <v>0</v>
      </c>
      <c r="M41" s="28">
        <f>'FY21 Final Initial $$'!M41/'FY21 FTE'!M$120</f>
        <v>1</v>
      </c>
      <c r="N41" s="28">
        <f>'FY21 Final Initial $$'!N41/'FY21 FTE'!N$120</f>
        <v>1</v>
      </c>
      <c r="O41" s="28">
        <f>'FY21 Final Initial $$'!O41/'FY21 FTE'!O$120</f>
        <v>0</v>
      </c>
      <c r="P41" s="28">
        <f>'FY21 Final Initial $$'!P41/'FY21 FTE'!P$120</f>
        <v>0</v>
      </c>
      <c r="Q41" s="28">
        <f>'FY21 Final Initial $$'!Q41/'FY21 FTE'!Q$120</f>
        <v>0</v>
      </c>
      <c r="R41" s="28">
        <f>'FY21 Final Initial $$'!R41/'FY21 FTE'!R$120</f>
        <v>0</v>
      </c>
      <c r="S41" s="28">
        <f>'FY21 Final Initial $$'!S41/'FY21 FTE'!S$120</f>
        <v>1</v>
      </c>
      <c r="T41" s="28">
        <f>'FY21 Final Initial $$'!T41/'FY21 FTE'!T$120</f>
        <v>1</v>
      </c>
      <c r="U41" s="28">
        <f>'FY21 Final Initial $$'!U41/'FY21 FTE'!U$120</f>
        <v>2</v>
      </c>
      <c r="V41" s="28">
        <f>'FY21 Final Initial $$'!V41/'FY21 FTE'!V$120</f>
        <v>1</v>
      </c>
      <c r="W41" s="28">
        <f>'FY21 Final Initial $$'!W41/'FY21 FTE'!W$120</f>
        <v>1</v>
      </c>
      <c r="X41" s="28">
        <f>'FY21 Final Initial $$'!X41/'FY21 FTE'!X$120</f>
        <v>1</v>
      </c>
      <c r="Y41" s="28">
        <f>'FY21 Final Initial $$'!Y41/'FY21 FTE'!Y$120</f>
        <v>1</v>
      </c>
      <c r="Z41" s="28">
        <f>'FY21 Final Initial $$'!Z41/'FY21 FTE'!Z$120</f>
        <v>0</v>
      </c>
      <c r="AA41" s="28">
        <f>'FY21 Final Initial $$'!AA41/'FY21 FTE'!AA$120</f>
        <v>0</v>
      </c>
      <c r="AB41" s="28">
        <f>'FY21 Final Initial $$'!AB41/'FY21 FTE'!AB$120</f>
        <v>2</v>
      </c>
      <c r="AC41" s="28">
        <f>'FY21 Final Initial $$'!AC41/'FY21 FTE'!AC$120</f>
        <v>2</v>
      </c>
      <c r="AD41" s="28">
        <f>'FY21 Final Initial $$'!AD41/'FY21 FTE'!AD$120</f>
        <v>0</v>
      </c>
      <c r="AE41" s="28">
        <f>'FY21 Final Initial $$'!AE41/'FY21 FTE'!AE$120</f>
        <v>0</v>
      </c>
      <c r="AF41" s="28">
        <f>'FY21 Final Initial $$'!AF41/'FY21 FTE'!AF$120</f>
        <v>2</v>
      </c>
      <c r="AG41" s="28">
        <f>'FY21 Final Initial $$'!AG41/'FY21 FTE'!AG$120</f>
        <v>2</v>
      </c>
      <c r="AH41" s="28">
        <f>'FY21 Final Initial $$'!AH41/'FY21 FTE'!AH$120</f>
        <v>3</v>
      </c>
      <c r="AI41" s="28">
        <f>'FY21 Final Initial $$'!AI41/'FY21 FTE'!AI$120</f>
        <v>3</v>
      </c>
      <c r="AJ41" s="28">
        <f>'FY21 Final Initial $$'!AJ41/'FY21 FTE'!AJ$120</f>
        <v>3</v>
      </c>
      <c r="AK41" s="28">
        <f>'FY21 Final Initial $$'!AK41/'FY21 FTE'!AK$120</f>
        <v>2</v>
      </c>
      <c r="AL41" s="28">
        <f>'FY21 Final Initial $$'!AL41/'FY21 FTE'!AL$120</f>
        <v>3</v>
      </c>
      <c r="AM41" s="28">
        <f>'FY21 Final Initial $$'!AM41/'FY21 FTE'!AM$120</f>
        <v>2</v>
      </c>
      <c r="AN41" s="28">
        <f>'FY21 Final Initial $$'!AN41/'FY21 FTE'!AN$120</f>
        <v>2.0000000000000027</v>
      </c>
      <c r="AO41" s="28">
        <f>'FY21 Final Initial $$'!AO41/'FY21 FTE'!AO$120</f>
        <v>0</v>
      </c>
      <c r="AP41" s="28">
        <f>'FY21 Final Initial $$'!AP41/'FY21 FTE'!AP$120</f>
        <v>0</v>
      </c>
      <c r="AQ41" s="28">
        <f>'FY21 Final Initial $$'!AQ41/'FY21 FTE'!AQ$120</f>
        <v>0</v>
      </c>
      <c r="AR41" s="28">
        <f>'FY21 Final Initial $$'!AR41/'FY21 FTE'!AR$120</f>
        <v>0</v>
      </c>
      <c r="AS41" s="28">
        <f>'FY21 Final Initial $$'!AS41/'FY21 FTE'!AS$120</f>
        <v>0</v>
      </c>
      <c r="AT41" s="28">
        <f>'FY21 Final Initial $$'!AT41/'FY21 FTE'!AT$120</f>
        <v>0</v>
      </c>
      <c r="AU41" s="28">
        <f>'FY21 Final Initial $$'!AU41/'FY21 FTE'!AU$120</f>
        <v>0</v>
      </c>
      <c r="AV41" s="28">
        <f>'FY21 Final Initial $$'!AV41/'FY21 FTE'!AV$120</f>
        <v>0</v>
      </c>
      <c r="AW41" s="28">
        <f>'FY21 Final Initial $$'!AW41/'FY21 FTE'!AW$120</f>
        <v>0</v>
      </c>
      <c r="AX41" s="28">
        <f>'FY21 Final Initial $$'!AX41/'FY21 FTE'!AX$120</f>
        <v>0</v>
      </c>
      <c r="AY41" s="28">
        <f>'FY21 Final Initial $$'!AY41/'FY21 FTE'!AY$120</f>
        <v>1</v>
      </c>
      <c r="AZ41" s="28">
        <f>'FY21 Final Initial $$'!AZ41/'FY21 FTE'!AZ$120</f>
        <v>2</v>
      </c>
      <c r="BA41" s="28">
        <f>'FY21 Final Initial $$'!BA41/'FY21 FTE'!BA$120</f>
        <v>4</v>
      </c>
      <c r="BB41" s="28">
        <f>'FY21 Final Initial $$'!BB41/'FY21 FTE'!BB$120</f>
        <v>0</v>
      </c>
      <c r="BC41" s="28">
        <f>'FY21 Final Initial $$'!BC41/'FY21 FTE'!BC$120</f>
        <v>0</v>
      </c>
      <c r="BD41" s="28">
        <f>'FY21 Final Initial $$'!BD41/'FY21 FTE'!BD$120</f>
        <v>0</v>
      </c>
      <c r="BE41" s="28">
        <f>'FY21 Final Initial $$'!BE41/'FY21 FTE'!BE$120</f>
        <v>9.0909090909090912E-2</v>
      </c>
      <c r="BF41" s="28">
        <f>'FY21 Final Initial $$'!BF41/'FY21 FTE'!BF$120</f>
        <v>0</v>
      </c>
      <c r="BG41" s="28">
        <f>'FY21 Final Initial $$'!BG41/'FY21 FTE'!BG$120</f>
        <v>0</v>
      </c>
      <c r="BH41" s="28">
        <f>'FY21 Final Initial $$'!BH41/'FY21 FTE'!BH$120</f>
        <v>4</v>
      </c>
      <c r="BI41" s="28">
        <f>'FY21 Final Initial $$'!BI41/'FY21 FTE'!BI$120</f>
        <v>4</v>
      </c>
      <c r="BJ41" s="28">
        <f>'FY21 Final Initial $$'!BJ41/'FY21 FTE'!BJ$120</f>
        <v>1</v>
      </c>
      <c r="BK41" s="20">
        <v>0</v>
      </c>
      <c r="BL41" s="20"/>
      <c r="BM41" s="20"/>
      <c r="BN41" s="20">
        <v>151718.25</v>
      </c>
      <c r="BO41" s="20">
        <v>2510.0100000000002</v>
      </c>
      <c r="BP41" s="20">
        <v>0</v>
      </c>
      <c r="BQ41" s="28">
        <f>'FY21 Final Initial $$'!BQ41/'FY21 FTE'!BQ$120</f>
        <v>0</v>
      </c>
      <c r="BR41" s="28">
        <f>'FY21 Final Initial $$'!BR41/'FY21 FTE'!BR$120</f>
        <v>0</v>
      </c>
      <c r="BS41" s="28">
        <f>'FY21 Final Initial $$'!BS41/'FY21 FTE'!BS$120</f>
        <v>0</v>
      </c>
      <c r="BT41" s="28">
        <f>'FY21 Final Initial $$'!BT41/'FY21 FTE'!BT$120</f>
        <v>0</v>
      </c>
      <c r="BU41" s="28">
        <f>'FY21 Final Initial $$'!BU41/'FY21 FTE'!BU$120</f>
        <v>0</v>
      </c>
      <c r="BV41" s="28">
        <f>'FY21 Final Initial $$'!BV41/'FY21 FTE'!BV$120</f>
        <v>0</v>
      </c>
      <c r="BW41" s="28">
        <f>'FY21 Final Initial $$'!BW41/'FY21 FTE'!BW$120</f>
        <v>0</v>
      </c>
      <c r="BX41" s="20">
        <v>0</v>
      </c>
      <c r="BY41" s="20">
        <v>0</v>
      </c>
      <c r="BZ41" s="20">
        <v>0</v>
      </c>
      <c r="CA41" s="20">
        <v>0</v>
      </c>
      <c r="CB41" s="28">
        <f>'FY21 Final Initial $$'!CB41/'FY21 FTE'!CB$120</f>
        <v>0</v>
      </c>
      <c r="CC41" s="28">
        <f>'FY21 Final Initial $$'!CC41/'FY21 FTE'!CC$120</f>
        <v>0</v>
      </c>
      <c r="CD41" s="20">
        <v>0</v>
      </c>
      <c r="CE41" s="28">
        <f>'FY21 Final Initial $$'!CE41/'FY21 FTE'!CE$120</f>
        <v>0</v>
      </c>
      <c r="CF41" s="28">
        <f>'FY21 Final Initial $$'!CF41/'FY21 FTE'!CF$120</f>
        <v>0</v>
      </c>
      <c r="CG41" s="28">
        <f>'FY21 Final Initial $$'!CG41/'FY21 FTE'!CG$120</f>
        <v>0</v>
      </c>
      <c r="CH41" s="28">
        <f>'FY21 Final Initial $$'!CH41/'FY21 FTE'!CH$120</f>
        <v>0</v>
      </c>
      <c r="CI41" s="28">
        <f>'FY21 Final Initial $$'!CI41/'FY21 FTE'!CI$120</f>
        <v>0</v>
      </c>
      <c r="CJ41" s="28">
        <f>'FY21 Final Initial $$'!CJ41/'FY21 FTE'!CJ$120</f>
        <v>0</v>
      </c>
      <c r="CK41" s="28">
        <f>'FY21 Final Initial $$'!CK41/'FY21 FTE'!CK$120</f>
        <v>0</v>
      </c>
      <c r="CL41" s="28">
        <f>'FY21 Final Initial $$'!CL41/'FY21 FTE'!CL$120</f>
        <v>0</v>
      </c>
      <c r="CM41" s="20">
        <v>0</v>
      </c>
      <c r="CN41" s="20">
        <v>0</v>
      </c>
      <c r="CO41" s="20">
        <v>111843.51999999999</v>
      </c>
      <c r="CP41" s="20">
        <v>0</v>
      </c>
      <c r="CQ41" s="28">
        <f>'FY21 Final Initial $$'!CQ41/'FY21 FTE'!CQ$120</f>
        <v>0</v>
      </c>
      <c r="CR41" s="20">
        <v>0</v>
      </c>
      <c r="CS41" s="20">
        <v>12320</v>
      </c>
      <c r="CT41" s="20">
        <v>0</v>
      </c>
      <c r="CU41" s="20">
        <v>19213.053235908141</v>
      </c>
      <c r="CV41" s="28">
        <f>'FY21 Final Initial $$'!CV41/'FY21 FTE'!CV$120</f>
        <v>0</v>
      </c>
      <c r="CW41" s="28">
        <f>'FY21 Final Initial $$'!CW41/'FY21 FTE'!CW$120</f>
        <v>0</v>
      </c>
      <c r="CX41" s="20">
        <v>0</v>
      </c>
      <c r="CY41" s="28">
        <f>'FY21 Final Initial $$'!CY41/'FY21 FTE'!CY$120</f>
        <v>0</v>
      </c>
      <c r="CZ41" s="20">
        <v>0</v>
      </c>
      <c r="DA41" s="20">
        <v>0</v>
      </c>
      <c r="DB41" s="20">
        <v>34100</v>
      </c>
      <c r="DC41" s="20">
        <v>70797.641072516111</v>
      </c>
      <c r="DD41" s="20">
        <v>0</v>
      </c>
      <c r="DE41" s="20">
        <v>0</v>
      </c>
      <c r="DF41" s="20">
        <v>13859</v>
      </c>
      <c r="DG41" s="20">
        <v>0</v>
      </c>
      <c r="DH41" s="28">
        <f>'FY21 Final Initial $$'!DH41/'FY21 FTE'!DH$120</f>
        <v>0</v>
      </c>
      <c r="DI41" s="20"/>
      <c r="DJ41" s="20">
        <v>38624.999776482582</v>
      </c>
      <c r="DK41" s="22">
        <v>0</v>
      </c>
      <c r="DL41" s="20">
        <v>0</v>
      </c>
      <c r="DM41" s="20">
        <v>475000</v>
      </c>
      <c r="DN41" s="20">
        <v>5424015.4848001897</v>
      </c>
      <c r="DO41" s="29">
        <f t="shared" si="1"/>
        <v>7</v>
      </c>
      <c r="DP41" s="29">
        <f t="shared" si="1"/>
        <v>7</v>
      </c>
      <c r="DQ41" s="29">
        <f t="shared" si="2"/>
        <v>12.000000000000004</v>
      </c>
      <c r="DR41" s="29">
        <f t="shared" si="3"/>
        <v>7.0909090909090908</v>
      </c>
      <c r="DS41" s="29">
        <f t="shared" si="4"/>
        <v>0</v>
      </c>
    </row>
    <row r="42" spans="1:123" x14ac:dyDescent="0.25">
      <c r="A42" s="18">
        <v>251</v>
      </c>
      <c r="B42" t="s">
        <v>181</v>
      </c>
      <c r="C42" t="s">
        <v>135</v>
      </c>
      <c r="D42">
        <v>7</v>
      </c>
      <c r="E42">
        <v>297</v>
      </c>
      <c r="F42" s="19">
        <f t="shared" si="0"/>
        <v>0.6835016835016835</v>
      </c>
      <c r="G42">
        <v>203</v>
      </c>
      <c r="H42" s="28">
        <f>'FY21 Final Initial $$'!H42/'FY21 FTE'!H$120</f>
        <v>1</v>
      </c>
      <c r="I42" s="28">
        <f>'FY21 Final Initial $$'!I42/'FY21 FTE'!I$120</f>
        <v>1</v>
      </c>
      <c r="J42" s="28">
        <f>'FY21 Final Initial $$'!J42/'FY21 FTE'!J$120</f>
        <v>0</v>
      </c>
      <c r="K42" s="28">
        <f>'FY21 Final Initial $$'!K42/'FY21 FTE'!K$120</f>
        <v>0</v>
      </c>
      <c r="L42" s="28">
        <f>'FY21 Final Initial $$'!L42/'FY21 FTE'!L$120</f>
        <v>0</v>
      </c>
      <c r="M42" s="28">
        <f>'FY21 Final Initial $$'!M42/'FY21 FTE'!M$120</f>
        <v>0.5</v>
      </c>
      <c r="N42" s="28">
        <f>'FY21 Final Initial $$'!N42/'FY21 FTE'!N$120</f>
        <v>1</v>
      </c>
      <c r="O42" s="28">
        <f>'FY21 Final Initial $$'!O42/'FY21 FTE'!O$120</f>
        <v>0</v>
      </c>
      <c r="P42" s="28">
        <f>'FY21 Final Initial $$'!P42/'FY21 FTE'!P$120</f>
        <v>0</v>
      </c>
      <c r="Q42" s="28">
        <f>'FY21 Final Initial $$'!Q42/'FY21 FTE'!Q$120</f>
        <v>0</v>
      </c>
      <c r="R42" s="28">
        <f>'FY21 Final Initial $$'!R42/'FY21 FTE'!R$120</f>
        <v>0</v>
      </c>
      <c r="S42" s="28">
        <f>'FY21 Final Initial $$'!S42/'FY21 FTE'!S$120</f>
        <v>1</v>
      </c>
      <c r="T42" s="28">
        <f>'FY21 Final Initial $$'!T42/'FY21 FTE'!T$120</f>
        <v>1</v>
      </c>
      <c r="U42" s="28">
        <f>'FY21 Final Initial $$'!U42/'FY21 FTE'!U$120</f>
        <v>1</v>
      </c>
      <c r="V42" s="28">
        <f>'FY21 Final Initial $$'!V42/'FY21 FTE'!V$120</f>
        <v>0.5</v>
      </c>
      <c r="W42" s="28">
        <f>'FY21 Final Initial $$'!W42/'FY21 FTE'!W$120</f>
        <v>1</v>
      </c>
      <c r="X42" s="28">
        <f>'FY21 Final Initial $$'!X42/'FY21 FTE'!X$120</f>
        <v>1</v>
      </c>
      <c r="Y42" s="28">
        <f>'FY21 Final Initial $$'!Y42/'FY21 FTE'!Y$120</f>
        <v>1</v>
      </c>
      <c r="Z42" s="28">
        <f>'FY21 Final Initial $$'!Z42/'FY21 FTE'!Z$120</f>
        <v>0</v>
      </c>
      <c r="AA42" s="28">
        <f>'FY21 Final Initial $$'!AA42/'FY21 FTE'!AA$120</f>
        <v>0</v>
      </c>
      <c r="AB42" s="28">
        <f>'FY21 Final Initial $$'!AB42/'FY21 FTE'!AB$120</f>
        <v>2</v>
      </c>
      <c r="AC42" s="28">
        <f>'FY21 Final Initial $$'!AC42/'FY21 FTE'!AC$120</f>
        <v>2</v>
      </c>
      <c r="AD42" s="28">
        <f>'FY21 Final Initial $$'!AD42/'FY21 FTE'!AD$120</f>
        <v>0</v>
      </c>
      <c r="AE42" s="28">
        <f>'FY21 Final Initial $$'!AE42/'FY21 FTE'!AE$120</f>
        <v>0</v>
      </c>
      <c r="AF42" s="28">
        <f>'FY21 Final Initial $$'!AF42/'FY21 FTE'!AF$120</f>
        <v>2</v>
      </c>
      <c r="AG42" s="28">
        <f>'FY21 Final Initial $$'!AG42/'FY21 FTE'!AG$120</f>
        <v>2</v>
      </c>
      <c r="AH42" s="28">
        <f>'FY21 Final Initial $$'!AH42/'FY21 FTE'!AH$120</f>
        <v>2</v>
      </c>
      <c r="AI42" s="28">
        <f>'FY21 Final Initial $$'!AI42/'FY21 FTE'!AI$120</f>
        <v>2</v>
      </c>
      <c r="AJ42" s="28">
        <f>'FY21 Final Initial $$'!AJ42/'FY21 FTE'!AJ$120</f>
        <v>2</v>
      </c>
      <c r="AK42" s="28">
        <f>'FY21 Final Initial $$'!AK42/'FY21 FTE'!AK$120</f>
        <v>2</v>
      </c>
      <c r="AL42" s="28">
        <f>'FY21 Final Initial $$'!AL42/'FY21 FTE'!AL$120</f>
        <v>2</v>
      </c>
      <c r="AM42" s="28">
        <f>'FY21 Final Initial $$'!AM42/'FY21 FTE'!AM$120</f>
        <v>2</v>
      </c>
      <c r="AN42" s="28">
        <f>'FY21 Final Initial $$'!AN42/'FY21 FTE'!AN$120</f>
        <v>2.0000000000000027</v>
      </c>
      <c r="AO42" s="28">
        <f>'FY21 Final Initial $$'!AO42/'FY21 FTE'!AO$120</f>
        <v>0</v>
      </c>
      <c r="AP42" s="28">
        <f>'FY21 Final Initial $$'!AP42/'FY21 FTE'!AP$120</f>
        <v>0</v>
      </c>
      <c r="AQ42" s="28">
        <f>'FY21 Final Initial $$'!AQ42/'FY21 FTE'!AQ$120</f>
        <v>0</v>
      </c>
      <c r="AR42" s="28">
        <f>'FY21 Final Initial $$'!AR42/'FY21 FTE'!AR$120</f>
        <v>0</v>
      </c>
      <c r="AS42" s="28">
        <f>'FY21 Final Initial $$'!AS42/'FY21 FTE'!AS$120</f>
        <v>0</v>
      </c>
      <c r="AT42" s="28">
        <f>'FY21 Final Initial $$'!AT42/'FY21 FTE'!AT$120</f>
        <v>0</v>
      </c>
      <c r="AU42" s="28">
        <f>'FY21 Final Initial $$'!AU42/'FY21 FTE'!AU$120</f>
        <v>0</v>
      </c>
      <c r="AV42" s="28">
        <f>'FY21 Final Initial $$'!AV42/'FY21 FTE'!AV$120</f>
        <v>0</v>
      </c>
      <c r="AW42" s="28">
        <f>'FY21 Final Initial $$'!AW42/'FY21 FTE'!AW$120</f>
        <v>0</v>
      </c>
      <c r="AX42" s="28">
        <f>'FY21 Final Initial $$'!AX42/'FY21 FTE'!AX$120</f>
        <v>0</v>
      </c>
      <c r="AY42" s="28">
        <f>'FY21 Final Initial $$'!AY42/'FY21 FTE'!AY$120</f>
        <v>1</v>
      </c>
      <c r="AZ42" s="28">
        <f>'FY21 Final Initial $$'!AZ42/'FY21 FTE'!AZ$120</f>
        <v>1</v>
      </c>
      <c r="BA42" s="28">
        <f>'FY21 Final Initial $$'!BA42/'FY21 FTE'!BA$120</f>
        <v>9</v>
      </c>
      <c r="BB42" s="28">
        <f>'FY21 Final Initial $$'!BB42/'FY21 FTE'!BB$120</f>
        <v>12</v>
      </c>
      <c r="BC42" s="28">
        <f>'FY21 Final Initial $$'!BC42/'FY21 FTE'!BC$120</f>
        <v>0</v>
      </c>
      <c r="BD42" s="28">
        <f>'FY21 Final Initial $$'!BD42/'FY21 FTE'!BD$120</f>
        <v>1</v>
      </c>
      <c r="BE42" s="28">
        <f>'FY21 Final Initial $$'!BE42/'FY21 FTE'!BE$120</f>
        <v>1</v>
      </c>
      <c r="BF42" s="28">
        <f>'FY21 Final Initial $$'!BF42/'FY21 FTE'!BF$120</f>
        <v>0</v>
      </c>
      <c r="BG42" s="28">
        <f>'FY21 Final Initial $$'!BG42/'FY21 FTE'!BG$120</f>
        <v>0</v>
      </c>
      <c r="BH42" s="28">
        <f>'FY21 Final Initial $$'!BH42/'FY21 FTE'!BH$120</f>
        <v>3</v>
      </c>
      <c r="BI42" s="28">
        <f>'FY21 Final Initial $$'!BI42/'FY21 FTE'!BI$120</f>
        <v>3</v>
      </c>
      <c r="BJ42" s="28">
        <f>'FY21 Final Initial $$'!BJ42/'FY21 FTE'!BJ$120</f>
        <v>1</v>
      </c>
      <c r="BK42" s="20">
        <v>0</v>
      </c>
      <c r="BL42" s="20"/>
      <c r="BM42" s="20"/>
      <c r="BN42" s="20">
        <v>116771.91</v>
      </c>
      <c r="BO42" s="20">
        <v>1931.86</v>
      </c>
      <c r="BP42" s="20">
        <v>0</v>
      </c>
      <c r="BQ42" s="28">
        <f>'FY21 Final Initial $$'!BQ42/'FY21 FTE'!BQ$120</f>
        <v>0</v>
      </c>
      <c r="BR42" s="28">
        <f>'FY21 Final Initial $$'!BR42/'FY21 FTE'!BR$120</f>
        <v>0</v>
      </c>
      <c r="BS42" s="28">
        <f>'FY21 Final Initial $$'!BS42/'FY21 FTE'!BS$120</f>
        <v>0</v>
      </c>
      <c r="BT42" s="28">
        <f>'FY21 Final Initial $$'!BT42/'FY21 FTE'!BT$120</f>
        <v>0</v>
      </c>
      <c r="BU42" s="28">
        <f>'FY21 Final Initial $$'!BU42/'FY21 FTE'!BU$120</f>
        <v>0</v>
      </c>
      <c r="BV42" s="28">
        <f>'FY21 Final Initial $$'!BV42/'FY21 FTE'!BV$120</f>
        <v>0</v>
      </c>
      <c r="BW42" s="28">
        <f>'FY21 Final Initial $$'!BW42/'FY21 FTE'!BW$120</f>
        <v>0</v>
      </c>
      <c r="BX42" s="20">
        <v>0</v>
      </c>
      <c r="BY42" s="20">
        <v>0</v>
      </c>
      <c r="BZ42" s="20">
        <v>0</v>
      </c>
      <c r="CA42" s="20">
        <v>0</v>
      </c>
      <c r="CB42" s="28">
        <f>'FY21 Final Initial $$'!CB42/'FY21 FTE'!CB$120</f>
        <v>0</v>
      </c>
      <c r="CC42" s="28">
        <f>'FY21 Final Initial $$'!CC42/'FY21 FTE'!CC$120</f>
        <v>0</v>
      </c>
      <c r="CD42" s="20">
        <v>0</v>
      </c>
      <c r="CE42" s="28">
        <f>'FY21 Final Initial $$'!CE42/'FY21 FTE'!CE$120</f>
        <v>0</v>
      </c>
      <c r="CF42" s="28">
        <f>'FY21 Final Initial $$'!CF42/'FY21 FTE'!CF$120</f>
        <v>0</v>
      </c>
      <c r="CG42" s="28">
        <f>'FY21 Final Initial $$'!CG42/'FY21 FTE'!CG$120</f>
        <v>0</v>
      </c>
      <c r="CH42" s="28">
        <f>'FY21 Final Initial $$'!CH42/'FY21 FTE'!CH$120</f>
        <v>0</v>
      </c>
      <c r="CI42" s="28">
        <f>'FY21 Final Initial $$'!CI42/'FY21 FTE'!CI$120</f>
        <v>0</v>
      </c>
      <c r="CJ42" s="28">
        <f>'FY21 Final Initial $$'!CJ42/'FY21 FTE'!CJ$120</f>
        <v>0</v>
      </c>
      <c r="CK42" s="28">
        <f>'FY21 Final Initial $$'!CK42/'FY21 FTE'!CK$120</f>
        <v>0</v>
      </c>
      <c r="CL42" s="28">
        <f>'FY21 Final Initial $$'!CL42/'FY21 FTE'!CL$120</f>
        <v>0</v>
      </c>
      <c r="CM42" s="20">
        <v>0</v>
      </c>
      <c r="CN42" s="20">
        <v>0</v>
      </c>
      <c r="CO42" s="20">
        <v>111843.51999999999</v>
      </c>
      <c r="CP42" s="20">
        <v>0</v>
      </c>
      <c r="CQ42" s="28">
        <f>'FY21 Final Initial $$'!CQ42/'FY21 FTE'!CQ$120</f>
        <v>0</v>
      </c>
      <c r="CR42" s="20">
        <v>0</v>
      </c>
      <c r="CS42" s="20">
        <v>4060</v>
      </c>
      <c r="CT42" s="20">
        <v>49680</v>
      </c>
      <c r="CU42" s="20">
        <v>16904.447494033411</v>
      </c>
      <c r="CV42" s="28">
        <f>'FY21 Final Initial $$'!CV42/'FY21 FTE'!CV$120</f>
        <v>0</v>
      </c>
      <c r="CW42" s="28">
        <f>'FY21 Final Initial $$'!CW42/'FY21 FTE'!CW$120</f>
        <v>0</v>
      </c>
      <c r="CX42" s="20">
        <v>0</v>
      </c>
      <c r="CY42" s="28">
        <f>'FY21 Final Initial $$'!CY42/'FY21 FTE'!CY$120</f>
        <v>0</v>
      </c>
      <c r="CZ42" s="20">
        <v>0</v>
      </c>
      <c r="DA42" s="20">
        <v>0</v>
      </c>
      <c r="DB42" s="20">
        <v>29700</v>
      </c>
      <c r="DC42" s="20">
        <v>78130.409745841433</v>
      </c>
      <c r="DD42" s="20">
        <v>0</v>
      </c>
      <c r="DE42" s="20">
        <v>0</v>
      </c>
      <c r="DF42" s="20">
        <v>0</v>
      </c>
      <c r="DG42" s="20">
        <v>0</v>
      </c>
      <c r="DH42" s="28">
        <f>'FY21 Final Initial $$'!DH42/'FY21 FTE'!DH$120</f>
        <v>0</v>
      </c>
      <c r="DI42" s="20"/>
      <c r="DJ42" s="20">
        <v>17224.999457597733</v>
      </c>
      <c r="DK42" s="22">
        <v>0</v>
      </c>
      <c r="DL42" s="20">
        <v>0</v>
      </c>
      <c r="DM42" s="20">
        <v>0</v>
      </c>
      <c r="DN42" s="20">
        <v>5311727.6278056353</v>
      </c>
      <c r="DO42" s="29">
        <f t="shared" si="1"/>
        <v>6</v>
      </c>
      <c r="DP42" s="29">
        <f t="shared" si="1"/>
        <v>6</v>
      </c>
      <c r="DQ42" s="29">
        <f t="shared" si="2"/>
        <v>10.000000000000004</v>
      </c>
      <c r="DR42" s="29">
        <f t="shared" si="3"/>
        <v>12</v>
      </c>
      <c r="DS42" s="29">
        <f t="shared" si="4"/>
        <v>12</v>
      </c>
    </row>
    <row r="43" spans="1:123" x14ac:dyDescent="0.25">
      <c r="A43" s="18">
        <v>252</v>
      </c>
      <c r="B43" t="s">
        <v>182</v>
      </c>
      <c r="C43" t="s">
        <v>135</v>
      </c>
      <c r="D43">
        <v>2</v>
      </c>
      <c r="E43">
        <v>401</v>
      </c>
      <c r="F43" s="19">
        <f t="shared" si="0"/>
        <v>0.10224438902743142</v>
      </c>
      <c r="G43">
        <v>41</v>
      </c>
      <c r="H43" s="28">
        <f>'FY21 Final Initial $$'!H43/'FY21 FTE'!H$120</f>
        <v>1</v>
      </c>
      <c r="I43" s="28">
        <f>'FY21 Final Initial $$'!I43/'FY21 FTE'!I$120</f>
        <v>1</v>
      </c>
      <c r="J43" s="28">
        <f>'FY21 Final Initial $$'!J43/'FY21 FTE'!J$120</f>
        <v>1</v>
      </c>
      <c r="K43" s="28">
        <f>'FY21 Final Initial $$'!K43/'FY21 FTE'!K$120</f>
        <v>0</v>
      </c>
      <c r="L43" s="28">
        <f>'FY21 Final Initial $$'!L43/'FY21 FTE'!L$120</f>
        <v>0</v>
      </c>
      <c r="M43" s="28">
        <f>'FY21 Final Initial $$'!M43/'FY21 FTE'!M$120</f>
        <v>1</v>
      </c>
      <c r="N43" s="28">
        <f>'FY21 Final Initial $$'!N43/'FY21 FTE'!N$120</f>
        <v>1</v>
      </c>
      <c r="O43" s="28">
        <f>'FY21 Final Initial $$'!O43/'FY21 FTE'!O$120</f>
        <v>1</v>
      </c>
      <c r="P43" s="28">
        <f>'FY21 Final Initial $$'!P43/'FY21 FTE'!P$120</f>
        <v>0</v>
      </c>
      <c r="Q43" s="28">
        <f>'FY21 Final Initial $$'!Q43/'FY21 FTE'!Q$120</f>
        <v>0</v>
      </c>
      <c r="R43" s="28">
        <f>'FY21 Final Initial $$'!R43/'FY21 FTE'!R$120</f>
        <v>0</v>
      </c>
      <c r="S43" s="28">
        <f>'FY21 Final Initial $$'!S43/'FY21 FTE'!S$120</f>
        <v>1</v>
      </c>
      <c r="T43" s="28">
        <f>'FY21 Final Initial $$'!T43/'FY21 FTE'!T$120</f>
        <v>1</v>
      </c>
      <c r="U43" s="28">
        <f>'FY21 Final Initial $$'!U43/'FY21 FTE'!U$120</f>
        <v>2</v>
      </c>
      <c r="V43" s="28">
        <f>'FY21 Final Initial $$'!V43/'FY21 FTE'!V$120</f>
        <v>1</v>
      </c>
      <c r="W43" s="28">
        <f>'FY21 Final Initial $$'!W43/'FY21 FTE'!W$120</f>
        <v>1</v>
      </c>
      <c r="X43" s="28">
        <f>'FY21 Final Initial $$'!X43/'FY21 FTE'!X$120</f>
        <v>1</v>
      </c>
      <c r="Y43" s="28">
        <f>'FY21 Final Initial $$'!Y43/'FY21 FTE'!Y$120</f>
        <v>1</v>
      </c>
      <c r="Z43" s="28">
        <f>'FY21 Final Initial $$'!Z43/'FY21 FTE'!Z$120</f>
        <v>1.5</v>
      </c>
      <c r="AA43" s="28">
        <f>'FY21 Final Initial $$'!AA43/'FY21 FTE'!AA$120</f>
        <v>0</v>
      </c>
      <c r="AB43" s="28">
        <f>'FY21 Final Initial $$'!AB43/'FY21 FTE'!AB$120</f>
        <v>1</v>
      </c>
      <c r="AC43" s="28">
        <f>'FY21 Final Initial $$'!AC43/'FY21 FTE'!AC$120</f>
        <v>1</v>
      </c>
      <c r="AD43" s="28">
        <f>'FY21 Final Initial $$'!AD43/'FY21 FTE'!AD$120</f>
        <v>0</v>
      </c>
      <c r="AE43" s="28">
        <f>'FY21 Final Initial $$'!AE43/'FY21 FTE'!AE$120</f>
        <v>0</v>
      </c>
      <c r="AF43" s="28">
        <f>'FY21 Final Initial $$'!AF43/'FY21 FTE'!AF$120</f>
        <v>2</v>
      </c>
      <c r="AG43" s="28">
        <f>'FY21 Final Initial $$'!AG43/'FY21 FTE'!AG$120</f>
        <v>2</v>
      </c>
      <c r="AH43" s="28">
        <f>'FY21 Final Initial $$'!AH43/'FY21 FTE'!AH$120</f>
        <v>3</v>
      </c>
      <c r="AI43" s="28">
        <f>'FY21 Final Initial $$'!AI43/'FY21 FTE'!AI$120</f>
        <v>3</v>
      </c>
      <c r="AJ43" s="28">
        <f>'FY21 Final Initial $$'!AJ43/'FY21 FTE'!AJ$120</f>
        <v>3</v>
      </c>
      <c r="AK43" s="28">
        <f>'FY21 Final Initial $$'!AK43/'FY21 FTE'!AK$120</f>
        <v>3</v>
      </c>
      <c r="AL43" s="28">
        <f>'FY21 Final Initial $$'!AL43/'FY21 FTE'!AL$120</f>
        <v>3</v>
      </c>
      <c r="AM43" s="28">
        <f>'FY21 Final Initial $$'!AM43/'FY21 FTE'!AM$120</f>
        <v>2</v>
      </c>
      <c r="AN43" s="28">
        <f>'FY21 Final Initial $$'!AN43/'FY21 FTE'!AN$120</f>
        <v>2.0000000000000027</v>
      </c>
      <c r="AO43" s="28">
        <f>'FY21 Final Initial $$'!AO43/'FY21 FTE'!AO$120</f>
        <v>0</v>
      </c>
      <c r="AP43" s="28">
        <f>'FY21 Final Initial $$'!AP43/'FY21 FTE'!AP$120</f>
        <v>0</v>
      </c>
      <c r="AQ43" s="28">
        <f>'FY21 Final Initial $$'!AQ43/'FY21 FTE'!AQ$120</f>
        <v>0</v>
      </c>
      <c r="AR43" s="28">
        <f>'FY21 Final Initial $$'!AR43/'FY21 FTE'!AR$120</f>
        <v>0</v>
      </c>
      <c r="AS43" s="28">
        <f>'FY21 Final Initial $$'!AS43/'FY21 FTE'!AS$120</f>
        <v>0</v>
      </c>
      <c r="AT43" s="28">
        <f>'FY21 Final Initial $$'!AT43/'FY21 FTE'!AT$120</f>
        <v>0</v>
      </c>
      <c r="AU43" s="28">
        <f>'FY21 Final Initial $$'!AU43/'FY21 FTE'!AU$120</f>
        <v>0</v>
      </c>
      <c r="AV43" s="28">
        <f>'FY21 Final Initial $$'!AV43/'FY21 FTE'!AV$120</f>
        <v>0</v>
      </c>
      <c r="AW43" s="28">
        <f>'FY21 Final Initial $$'!AW43/'FY21 FTE'!AW$120</f>
        <v>0</v>
      </c>
      <c r="AX43" s="28">
        <f>'FY21 Final Initial $$'!AX43/'FY21 FTE'!AX$120</f>
        <v>0</v>
      </c>
      <c r="AY43" s="28">
        <f>'FY21 Final Initial $$'!AY43/'FY21 FTE'!AY$120</f>
        <v>0.5</v>
      </c>
      <c r="AZ43" s="28">
        <f>'FY21 Final Initial $$'!AZ43/'FY21 FTE'!AZ$120</f>
        <v>1</v>
      </c>
      <c r="BA43" s="28">
        <f>'FY21 Final Initial $$'!BA43/'FY21 FTE'!BA$120</f>
        <v>3</v>
      </c>
      <c r="BB43" s="28">
        <f>'FY21 Final Initial $$'!BB43/'FY21 FTE'!BB$120</f>
        <v>0</v>
      </c>
      <c r="BC43" s="28">
        <f>'FY21 Final Initial $$'!BC43/'FY21 FTE'!BC$120</f>
        <v>0</v>
      </c>
      <c r="BD43" s="28">
        <f>'FY21 Final Initial $$'!BD43/'FY21 FTE'!BD$120</f>
        <v>0</v>
      </c>
      <c r="BE43" s="28">
        <f>'FY21 Final Initial $$'!BE43/'FY21 FTE'!BE$120</f>
        <v>2</v>
      </c>
      <c r="BF43" s="28">
        <f>'FY21 Final Initial $$'!BF43/'FY21 FTE'!BF$120</f>
        <v>0</v>
      </c>
      <c r="BG43" s="28">
        <f>'FY21 Final Initial $$'!BG43/'FY21 FTE'!BG$120</f>
        <v>0</v>
      </c>
      <c r="BH43" s="28">
        <f>'FY21 Final Initial $$'!BH43/'FY21 FTE'!BH$120</f>
        <v>0</v>
      </c>
      <c r="BI43" s="28">
        <f>'FY21 Final Initial $$'!BI43/'FY21 FTE'!BI$120</f>
        <v>0</v>
      </c>
      <c r="BJ43" s="28">
        <f>'FY21 Final Initial $$'!BJ43/'FY21 FTE'!BJ$120</f>
        <v>0</v>
      </c>
      <c r="BK43" s="20">
        <v>0</v>
      </c>
      <c r="BL43" s="20"/>
      <c r="BM43" s="20"/>
      <c r="BN43" s="20">
        <v>0</v>
      </c>
      <c r="BO43" s="20">
        <v>0</v>
      </c>
      <c r="BP43" s="20">
        <v>9425</v>
      </c>
      <c r="BQ43" s="28">
        <f>'FY21 Final Initial $$'!BQ43/'FY21 FTE'!BQ$120</f>
        <v>0</v>
      </c>
      <c r="BR43" s="28">
        <f>'FY21 Final Initial $$'!BR43/'FY21 FTE'!BR$120</f>
        <v>0</v>
      </c>
      <c r="BS43" s="28">
        <f>'FY21 Final Initial $$'!BS43/'FY21 FTE'!BS$120</f>
        <v>0</v>
      </c>
      <c r="BT43" s="28">
        <f>'FY21 Final Initial $$'!BT43/'FY21 FTE'!BT$120</f>
        <v>0</v>
      </c>
      <c r="BU43" s="28">
        <f>'FY21 Final Initial $$'!BU43/'FY21 FTE'!BU$120</f>
        <v>0</v>
      </c>
      <c r="BV43" s="28">
        <f>'FY21 Final Initial $$'!BV43/'FY21 FTE'!BV$120</f>
        <v>0</v>
      </c>
      <c r="BW43" s="28">
        <f>'FY21 Final Initial $$'!BW43/'FY21 FTE'!BW$120</f>
        <v>0</v>
      </c>
      <c r="BX43" s="20">
        <v>0</v>
      </c>
      <c r="BY43" s="20">
        <v>0</v>
      </c>
      <c r="BZ43" s="20">
        <v>0</v>
      </c>
      <c r="CA43" s="20">
        <v>0</v>
      </c>
      <c r="CB43" s="28">
        <f>'FY21 Final Initial $$'!CB43/'FY21 FTE'!CB$120</f>
        <v>0</v>
      </c>
      <c r="CC43" s="28">
        <f>'FY21 Final Initial $$'!CC43/'FY21 FTE'!CC$120</f>
        <v>0</v>
      </c>
      <c r="CD43" s="20">
        <v>0</v>
      </c>
      <c r="CE43" s="28">
        <f>'FY21 Final Initial $$'!CE43/'FY21 FTE'!CE$120</f>
        <v>0</v>
      </c>
      <c r="CF43" s="28">
        <f>'FY21 Final Initial $$'!CF43/'FY21 FTE'!CF$120</f>
        <v>0</v>
      </c>
      <c r="CG43" s="28">
        <f>'FY21 Final Initial $$'!CG43/'FY21 FTE'!CG$120</f>
        <v>0</v>
      </c>
      <c r="CH43" s="28">
        <f>'FY21 Final Initial $$'!CH43/'FY21 FTE'!CH$120</f>
        <v>0</v>
      </c>
      <c r="CI43" s="28">
        <f>'FY21 Final Initial $$'!CI43/'FY21 FTE'!CI$120</f>
        <v>0</v>
      </c>
      <c r="CJ43" s="28">
        <f>'FY21 Final Initial $$'!CJ43/'FY21 FTE'!CJ$120</f>
        <v>0</v>
      </c>
      <c r="CK43" s="28">
        <f>'FY21 Final Initial $$'!CK43/'FY21 FTE'!CK$120</f>
        <v>0</v>
      </c>
      <c r="CL43" s="28">
        <f>'FY21 Final Initial $$'!CL43/'FY21 FTE'!CL$120</f>
        <v>0</v>
      </c>
      <c r="CM43" s="20">
        <v>0</v>
      </c>
      <c r="CN43" s="20">
        <v>0</v>
      </c>
      <c r="CO43" s="20">
        <v>111843.51999999999</v>
      </c>
      <c r="CP43" s="20">
        <v>0</v>
      </c>
      <c r="CQ43" s="28">
        <f>'FY21 Final Initial $$'!CQ43/'FY21 FTE'!CQ$120</f>
        <v>0</v>
      </c>
      <c r="CR43" s="20">
        <v>0</v>
      </c>
      <c r="CS43" s="20">
        <v>0</v>
      </c>
      <c r="CT43" s="20">
        <v>0</v>
      </c>
      <c r="CU43" s="20">
        <v>20105.037688442211</v>
      </c>
      <c r="CV43" s="28">
        <f>'FY21 Final Initial $$'!CV43/'FY21 FTE'!CV$120</f>
        <v>0</v>
      </c>
      <c r="CW43" s="28">
        <f>'FY21 Final Initial $$'!CW43/'FY21 FTE'!CW$120</f>
        <v>0</v>
      </c>
      <c r="CX43" s="20">
        <v>0</v>
      </c>
      <c r="CY43" s="28">
        <f>'FY21 Final Initial $$'!CY43/'FY21 FTE'!CY$120</f>
        <v>0</v>
      </c>
      <c r="CZ43" s="20">
        <v>0</v>
      </c>
      <c r="DA43" s="20">
        <v>0</v>
      </c>
      <c r="DB43" s="20">
        <v>40100</v>
      </c>
      <c r="DC43" s="20">
        <v>72850.741363212903</v>
      </c>
      <c r="DD43" s="20">
        <v>0</v>
      </c>
      <c r="DE43" s="20">
        <v>0</v>
      </c>
      <c r="DF43" s="20">
        <v>0</v>
      </c>
      <c r="DG43" s="20">
        <v>0</v>
      </c>
      <c r="DH43" s="28">
        <f>'FY21 Final Initial $$'!DH43/'FY21 FTE'!DH$120</f>
        <v>0</v>
      </c>
      <c r="DI43" s="20"/>
      <c r="DJ43" s="20">
        <v>4374.999950453639</v>
      </c>
      <c r="DK43" s="22">
        <v>0</v>
      </c>
      <c r="DL43" s="20">
        <v>0</v>
      </c>
      <c r="DM43" s="20">
        <v>0</v>
      </c>
      <c r="DN43" s="20">
        <v>4783590.0669035306</v>
      </c>
      <c r="DO43" s="29">
        <f t="shared" si="1"/>
        <v>6</v>
      </c>
      <c r="DP43" s="29">
        <f t="shared" si="1"/>
        <v>6</v>
      </c>
      <c r="DQ43" s="29">
        <f t="shared" si="2"/>
        <v>13.000000000000004</v>
      </c>
      <c r="DR43" s="29">
        <f t="shared" si="3"/>
        <v>6.5</v>
      </c>
      <c r="DS43" s="29">
        <f t="shared" si="4"/>
        <v>0</v>
      </c>
    </row>
    <row r="44" spans="1:123" x14ac:dyDescent="0.25">
      <c r="A44" s="18">
        <v>950</v>
      </c>
      <c r="B44" t="s">
        <v>183</v>
      </c>
      <c r="C44" t="s">
        <v>184</v>
      </c>
      <c r="D44">
        <v>7</v>
      </c>
      <c r="E44">
        <v>44</v>
      </c>
      <c r="F44" s="19">
        <f t="shared" si="0"/>
        <v>0</v>
      </c>
      <c r="G44">
        <v>0</v>
      </c>
      <c r="H44" s="28">
        <f>'FY21 Final Initial $$'!H44/'FY21 FTE'!H$120</f>
        <v>0</v>
      </c>
      <c r="I44" s="28">
        <f>'FY21 Final Initial $$'!I44/'FY21 FTE'!I$120</f>
        <v>0.5</v>
      </c>
      <c r="J44" s="28">
        <f>'FY21 Final Initial $$'!J44/'FY21 FTE'!J$120</f>
        <v>0</v>
      </c>
      <c r="K44" s="28">
        <f>'FY21 Final Initial $$'!K44/'FY21 FTE'!K$120</f>
        <v>0</v>
      </c>
      <c r="L44" s="28">
        <f>'FY21 Final Initial $$'!L44/'FY21 FTE'!L$120</f>
        <v>1</v>
      </c>
      <c r="M44" s="28">
        <f>'FY21 Final Initial $$'!M44/'FY21 FTE'!M$120</f>
        <v>0.5</v>
      </c>
      <c r="N44" s="28">
        <f>'FY21 Final Initial $$'!N44/'FY21 FTE'!N$120</f>
        <v>1</v>
      </c>
      <c r="O44" s="28">
        <f>'FY21 Final Initial $$'!O44/'FY21 FTE'!O$120</f>
        <v>0</v>
      </c>
      <c r="P44" s="28">
        <f>'FY21 Final Initial $$'!P44/'FY21 FTE'!P$120</f>
        <v>0</v>
      </c>
      <c r="Q44" s="28">
        <f>'FY21 Final Initial $$'!Q44/'FY21 FTE'!Q$120</f>
        <v>0</v>
      </c>
      <c r="R44" s="28">
        <f>'FY21 Final Initial $$'!R44/'FY21 FTE'!R$120</f>
        <v>0</v>
      </c>
      <c r="S44" s="28">
        <f>'FY21 Final Initial $$'!S44/'FY21 FTE'!S$120</f>
        <v>0</v>
      </c>
      <c r="T44" s="28">
        <f>'FY21 Final Initial $$'!T44/'FY21 FTE'!T$120</f>
        <v>0</v>
      </c>
      <c r="U44" s="28">
        <f>'FY21 Final Initial $$'!U44/'FY21 FTE'!U$120</f>
        <v>0</v>
      </c>
      <c r="V44" s="28">
        <f>'FY21 Final Initial $$'!V44/'FY21 FTE'!V$120</f>
        <v>0.5</v>
      </c>
      <c r="W44" s="28">
        <f>'FY21 Final Initial $$'!W44/'FY21 FTE'!W$120</f>
        <v>0</v>
      </c>
      <c r="X44" s="28">
        <f>'FY21 Final Initial $$'!X44/'FY21 FTE'!X$120</f>
        <v>0</v>
      </c>
      <c r="Y44" s="28">
        <f>'FY21 Final Initial $$'!Y44/'FY21 FTE'!Y$120</f>
        <v>0</v>
      </c>
      <c r="Z44" s="28">
        <f>'FY21 Final Initial $$'!Z44/'FY21 FTE'!Z$120</f>
        <v>0.5</v>
      </c>
      <c r="AA44" s="28">
        <f>'FY21 Final Initial $$'!AA44/'FY21 FTE'!AA$120</f>
        <v>0</v>
      </c>
      <c r="AB44" s="28">
        <f>'FY21 Final Initial $$'!AB44/'FY21 FTE'!AB$120</f>
        <v>0</v>
      </c>
      <c r="AC44" s="28">
        <f>'FY21 Final Initial $$'!AC44/'FY21 FTE'!AC$120</f>
        <v>0</v>
      </c>
      <c r="AD44" s="28">
        <f>'FY21 Final Initial $$'!AD44/'FY21 FTE'!AD$120</f>
        <v>0</v>
      </c>
      <c r="AE44" s="28">
        <f>'FY21 Final Initial $$'!AE44/'FY21 FTE'!AE$120</f>
        <v>0</v>
      </c>
      <c r="AF44" s="28">
        <f>'FY21 Final Initial $$'!AF44/'FY21 FTE'!AF$120</f>
        <v>0</v>
      </c>
      <c r="AG44" s="28">
        <f>'FY21 Final Initial $$'!AG44/'FY21 FTE'!AG$120</f>
        <v>0</v>
      </c>
      <c r="AH44" s="28">
        <f>'FY21 Final Initial $$'!AH44/'FY21 FTE'!AH$120</f>
        <v>0</v>
      </c>
      <c r="AI44" s="28">
        <f>'FY21 Final Initial $$'!AI44/'FY21 FTE'!AI$120</f>
        <v>0</v>
      </c>
      <c r="AJ44" s="28">
        <f>'FY21 Final Initial $$'!AJ44/'FY21 FTE'!AJ$120</f>
        <v>0</v>
      </c>
      <c r="AK44" s="28">
        <f>'FY21 Final Initial $$'!AK44/'FY21 FTE'!AK$120</f>
        <v>0</v>
      </c>
      <c r="AL44" s="28">
        <f>'FY21 Final Initial $$'!AL44/'FY21 FTE'!AL$120</f>
        <v>0</v>
      </c>
      <c r="AM44" s="28">
        <f>'FY21 Final Initial $$'!AM44/'FY21 FTE'!AM$120</f>
        <v>0</v>
      </c>
      <c r="AN44" s="28">
        <f>'FY21 Final Initial $$'!AN44/'FY21 FTE'!AN$120</f>
        <v>0</v>
      </c>
      <c r="AO44" s="28">
        <f>'FY21 Final Initial $$'!AO44/'FY21 FTE'!AO$120</f>
        <v>0</v>
      </c>
      <c r="AP44" s="28">
        <f>'FY21 Final Initial $$'!AP44/'FY21 FTE'!AP$120</f>
        <v>0</v>
      </c>
      <c r="AQ44" s="28">
        <f>'FY21 Final Initial $$'!AQ44/'FY21 FTE'!AQ$120</f>
        <v>0</v>
      </c>
      <c r="AR44" s="28">
        <f>'FY21 Final Initial $$'!AR44/'FY21 FTE'!AR$120</f>
        <v>1</v>
      </c>
      <c r="AS44" s="28">
        <f>'FY21 Final Initial $$'!AS44/'FY21 FTE'!AS$120</f>
        <v>1</v>
      </c>
      <c r="AT44" s="28">
        <f>'FY21 Final Initial $$'!AT44/'FY21 FTE'!AT$120</f>
        <v>1</v>
      </c>
      <c r="AU44" s="28">
        <f>'FY21 Final Initial $$'!AU44/'FY21 FTE'!AU$120</f>
        <v>1</v>
      </c>
      <c r="AV44" s="28">
        <f>'FY21 Final Initial $$'!AV44/'FY21 FTE'!AV$120</f>
        <v>0</v>
      </c>
      <c r="AW44" s="28">
        <f>'FY21 Final Initial $$'!AW44/'FY21 FTE'!AW$120</f>
        <v>0</v>
      </c>
      <c r="AX44" s="28">
        <f>'FY21 Final Initial $$'!AX44/'FY21 FTE'!AX$120</f>
        <v>0</v>
      </c>
      <c r="AY44" s="28">
        <f>'FY21 Final Initial $$'!AY44/'FY21 FTE'!AY$120</f>
        <v>0.5</v>
      </c>
      <c r="AZ44" s="28">
        <f>'FY21 Final Initial $$'!AZ44/'FY21 FTE'!AZ$120</f>
        <v>2</v>
      </c>
      <c r="BA44" s="28">
        <f>'FY21 Final Initial $$'!BA44/'FY21 FTE'!BA$120</f>
        <v>5</v>
      </c>
      <c r="BB44" s="28">
        <f>'FY21 Final Initial $$'!BB44/'FY21 FTE'!BB$120</f>
        <v>0</v>
      </c>
      <c r="BC44" s="28">
        <f>'FY21 Final Initial $$'!BC44/'FY21 FTE'!BC$120</f>
        <v>0</v>
      </c>
      <c r="BD44" s="28">
        <f>'FY21 Final Initial $$'!BD44/'FY21 FTE'!BD$120</f>
        <v>0</v>
      </c>
      <c r="BE44" s="28">
        <f>'FY21 Final Initial $$'!BE44/'FY21 FTE'!BE$120</f>
        <v>9.0909090909090912E-2</v>
      </c>
      <c r="BF44" s="28">
        <f>'FY21 Final Initial $$'!BF44/'FY21 FTE'!BF$120</f>
        <v>0</v>
      </c>
      <c r="BG44" s="28">
        <f>'FY21 Final Initial $$'!BG44/'FY21 FTE'!BG$120</f>
        <v>0</v>
      </c>
      <c r="BH44" s="28">
        <f>'FY21 Final Initial $$'!BH44/'FY21 FTE'!BH$120</f>
        <v>0</v>
      </c>
      <c r="BI44" s="28">
        <f>'FY21 Final Initial $$'!BI44/'FY21 FTE'!BI$120</f>
        <v>0</v>
      </c>
      <c r="BJ44" s="28">
        <f>'FY21 Final Initial $$'!BJ44/'FY21 FTE'!BJ$120</f>
        <v>0</v>
      </c>
      <c r="BK44" s="20">
        <v>25000</v>
      </c>
      <c r="BL44" s="20"/>
      <c r="BM44" s="20"/>
      <c r="BN44" s="20">
        <v>0</v>
      </c>
      <c r="BO44" s="20">
        <v>0</v>
      </c>
      <c r="BP44" s="20">
        <v>1100</v>
      </c>
      <c r="BQ44" s="28">
        <f>'FY21 Final Initial $$'!BQ44/'FY21 FTE'!BQ$120</f>
        <v>0</v>
      </c>
      <c r="BR44" s="28">
        <f>'FY21 Final Initial $$'!BR44/'FY21 FTE'!BR$120</f>
        <v>0</v>
      </c>
      <c r="BS44" s="28">
        <f>'FY21 Final Initial $$'!BS44/'FY21 FTE'!BS$120</f>
        <v>0</v>
      </c>
      <c r="BT44" s="28">
        <f>'FY21 Final Initial $$'!BT44/'FY21 FTE'!BT$120</f>
        <v>0</v>
      </c>
      <c r="BU44" s="28">
        <f>'FY21 Final Initial $$'!BU44/'FY21 FTE'!BU$120</f>
        <v>0</v>
      </c>
      <c r="BV44" s="28">
        <f>'FY21 Final Initial $$'!BV44/'FY21 FTE'!BV$120</f>
        <v>0</v>
      </c>
      <c r="BW44" s="28">
        <f>'FY21 Final Initial $$'!BW44/'FY21 FTE'!BW$120</f>
        <v>0</v>
      </c>
      <c r="BX44" s="20">
        <v>0</v>
      </c>
      <c r="BY44" s="20">
        <v>0</v>
      </c>
      <c r="BZ44" s="20">
        <v>0</v>
      </c>
      <c r="CA44" s="20">
        <v>0</v>
      </c>
      <c r="CB44" s="28">
        <f>'FY21 Final Initial $$'!CB44/'FY21 FTE'!CB$120</f>
        <v>0</v>
      </c>
      <c r="CC44" s="28">
        <f>'FY21 Final Initial $$'!CC44/'FY21 FTE'!CC$120</f>
        <v>0</v>
      </c>
      <c r="CD44" s="20">
        <v>0</v>
      </c>
      <c r="CE44" s="28">
        <f>'FY21 Final Initial $$'!CE44/'FY21 FTE'!CE$120</f>
        <v>0</v>
      </c>
      <c r="CF44" s="28">
        <f>'FY21 Final Initial $$'!CF44/'FY21 FTE'!CF$120</f>
        <v>0</v>
      </c>
      <c r="CG44" s="28">
        <f>'FY21 Final Initial $$'!CG44/'FY21 FTE'!CG$120</f>
        <v>0</v>
      </c>
      <c r="CH44" s="28">
        <f>'FY21 Final Initial $$'!CH44/'FY21 FTE'!CH$120</f>
        <v>0</v>
      </c>
      <c r="CI44" s="28">
        <f>'FY21 Final Initial $$'!CI44/'FY21 FTE'!CI$120</f>
        <v>0</v>
      </c>
      <c r="CJ44" s="28">
        <f>'FY21 Final Initial $$'!CJ44/'FY21 FTE'!CJ$120</f>
        <v>0</v>
      </c>
      <c r="CK44" s="28">
        <f>'FY21 Final Initial $$'!CK44/'FY21 FTE'!CK$120</f>
        <v>0</v>
      </c>
      <c r="CL44" s="28">
        <f>'FY21 Final Initial $$'!CL44/'FY21 FTE'!CL$120</f>
        <v>0</v>
      </c>
      <c r="CM44" s="20">
        <v>0</v>
      </c>
      <c r="CN44" s="20">
        <v>0</v>
      </c>
      <c r="CO44" s="20">
        <v>0</v>
      </c>
      <c r="CP44" s="20">
        <v>0</v>
      </c>
      <c r="CQ44" s="28">
        <f>'FY21 Final Initial $$'!CQ44/'FY21 FTE'!CQ$120</f>
        <v>0</v>
      </c>
      <c r="CR44" s="20">
        <v>0</v>
      </c>
      <c r="CS44" s="20">
        <v>0</v>
      </c>
      <c r="CT44" s="20">
        <v>0</v>
      </c>
      <c r="CU44" s="20">
        <v>7439</v>
      </c>
      <c r="CV44" s="28">
        <f>'FY21 Final Initial $$'!CV44/'FY21 FTE'!CV$120</f>
        <v>0</v>
      </c>
      <c r="CW44" s="28">
        <f>'FY21 Final Initial $$'!CW44/'FY21 FTE'!CW$120</f>
        <v>0</v>
      </c>
      <c r="CX44" s="20">
        <v>0</v>
      </c>
      <c r="CY44" s="28">
        <f>'FY21 Final Initial $$'!CY44/'FY21 FTE'!CY$120</f>
        <v>0</v>
      </c>
      <c r="CZ44" s="20">
        <v>0</v>
      </c>
      <c r="DA44" s="20">
        <v>0</v>
      </c>
      <c r="DB44" s="20">
        <v>4400</v>
      </c>
      <c r="DC44" s="20">
        <v>27064.836255950602</v>
      </c>
      <c r="DD44" s="20">
        <v>0</v>
      </c>
      <c r="DE44" s="20">
        <v>186871.27068881001</v>
      </c>
      <c r="DF44" s="20">
        <v>0</v>
      </c>
      <c r="DG44" s="20">
        <v>0</v>
      </c>
      <c r="DH44" s="28">
        <f>'FY21 Final Initial $$'!DH44/'FY21 FTE'!DH$120</f>
        <v>0</v>
      </c>
      <c r="DI44" s="20"/>
      <c r="DJ44" s="20">
        <v>0</v>
      </c>
      <c r="DK44" s="22">
        <v>0</v>
      </c>
      <c r="DL44" s="20">
        <v>0</v>
      </c>
      <c r="DM44" s="20">
        <v>0</v>
      </c>
      <c r="DN44" s="20">
        <v>1932920.837128028</v>
      </c>
      <c r="DO44" s="29">
        <f t="shared" si="1"/>
        <v>0</v>
      </c>
      <c r="DP44" s="29">
        <f t="shared" si="1"/>
        <v>0</v>
      </c>
      <c r="DQ44" s="29">
        <f t="shared" si="2"/>
        <v>4</v>
      </c>
      <c r="DR44" s="29">
        <f t="shared" si="3"/>
        <v>7.5909090909090908</v>
      </c>
      <c r="DS44" s="29">
        <f t="shared" si="4"/>
        <v>0</v>
      </c>
    </row>
    <row r="45" spans="1:123" x14ac:dyDescent="0.25">
      <c r="A45" s="18">
        <v>339</v>
      </c>
      <c r="B45" t="s">
        <v>185</v>
      </c>
      <c r="C45" t="s">
        <v>135</v>
      </c>
      <c r="D45">
        <v>6</v>
      </c>
      <c r="E45">
        <v>455</v>
      </c>
      <c r="F45" s="19">
        <f t="shared" si="0"/>
        <v>0.49890109890109891</v>
      </c>
      <c r="G45">
        <v>227</v>
      </c>
      <c r="H45" s="28">
        <f>'FY21 Final Initial $$'!H45/'FY21 FTE'!H$120</f>
        <v>1</v>
      </c>
      <c r="I45" s="28">
        <f>'FY21 Final Initial $$'!I45/'FY21 FTE'!I$120</f>
        <v>1</v>
      </c>
      <c r="J45" s="28">
        <f>'FY21 Final Initial $$'!J45/'FY21 FTE'!J$120</f>
        <v>1.1000000000000001</v>
      </c>
      <c r="K45" s="28">
        <f>'FY21 Final Initial $$'!K45/'FY21 FTE'!K$120</f>
        <v>0</v>
      </c>
      <c r="L45" s="28">
        <f>'FY21 Final Initial $$'!L45/'FY21 FTE'!L$120</f>
        <v>0</v>
      </c>
      <c r="M45" s="28">
        <f>'FY21 Final Initial $$'!M45/'FY21 FTE'!M$120</f>
        <v>1</v>
      </c>
      <c r="N45" s="28">
        <f>'FY21 Final Initial $$'!N45/'FY21 FTE'!N$120</f>
        <v>1</v>
      </c>
      <c r="O45" s="28">
        <f>'FY21 Final Initial $$'!O45/'FY21 FTE'!O$120</f>
        <v>1.1000000000000001</v>
      </c>
      <c r="P45" s="28">
        <f>'FY21 Final Initial $$'!P45/'FY21 FTE'!P$120</f>
        <v>0</v>
      </c>
      <c r="Q45" s="28">
        <f>'FY21 Final Initial $$'!Q45/'FY21 FTE'!Q$120</f>
        <v>0</v>
      </c>
      <c r="R45" s="28">
        <f>'FY21 Final Initial $$'!R45/'FY21 FTE'!R$120</f>
        <v>0</v>
      </c>
      <c r="S45" s="28">
        <f>'FY21 Final Initial $$'!S45/'FY21 FTE'!S$120</f>
        <v>1</v>
      </c>
      <c r="T45" s="28">
        <f>'FY21 Final Initial $$'!T45/'FY21 FTE'!T$120</f>
        <v>1</v>
      </c>
      <c r="U45" s="28">
        <f>'FY21 Final Initial $$'!U45/'FY21 FTE'!U$120</f>
        <v>2</v>
      </c>
      <c r="V45" s="28">
        <f>'FY21 Final Initial $$'!V45/'FY21 FTE'!V$120</f>
        <v>1</v>
      </c>
      <c r="W45" s="28">
        <f>'FY21 Final Initial $$'!W45/'FY21 FTE'!W$120</f>
        <v>1</v>
      </c>
      <c r="X45" s="28">
        <f>'FY21 Final Initial $$'!X45/'FY21 FTE'!X$120</f>
        <v>1</v>
      </c>
      <c r="Y45" s="28">
        <f>'FY21 Final Initial $$'!Y45/'FY21 FTE'!Y$120</f>
        <v>1</v>
      </c>
      <c r="Z45" s="28">
        <f>'FY21 Final Initial $$'!Z45/'FY21 FTE'!Z$120</f>
        <v>1.5</v>
      </c>
      <c r="AA45" s="28">
        <f>'FY21 Final Initial $$'!AA45/'FY21 FTE'!AA$120</f>
        <v>0</v>
      </c>
      <c r="AB45" s="28">
        <f>'FY21 Final Initial $$'!AB45/'FY21 FTE'!AB$120</f>
        <v>3</v>
      </c>
      <c r="AC45" s="28">
        <f>'FY21 Final Initial $$'!AC45/'FY21 FTE'!AC$120</f>
        <v>3</v>
      </c>
      <c r="AD45" s="28">
        <f>'FY21 Final Initial $$'!AD45/'FY21 FTE'!AD$120</f>
        <v>1</v>
      </c>
      <c r="AE45" s="28">
        <f>'FY21 Final Initial $$'!AE45/'FY21 FTE'!AE$120</f>
        <v>2</v>
      </c>
      <c r="AF45" s="28">
        <f>'FY21 Final Initial $$'!AF45/'FY21 FTE'!AF$120</f>
        <v>3</v>
      </c>
      <c r="AG45" s="28">
        <f>'FY21 Final Initial $$'!AG45/'FY21 FTE'!AG$120</f>
        <v>3</v>
      </c>
      <c r="AH45" s="28">
        <f>'FY21 Final Initial $$'!AH45/'FY21 FTE'!AH$120</f>
        <v>4</v>
      </c>
      <c r="AI45" s="28">
        <f>'FY21 Final Initial $$'!AI45/'FY21 FTE'!AI$120</f>
        <v>4</v>
      </c>
      <c r="AJ45" s="28">
        <f>'FY21 Final Initial $$'!AJ45/'FY21 FTE'!AJ$120</f>
        <v>3</v>
      </c>
      <c r="AK45" s="28">
        <f>'FY21 Final Initial $$'!AK45/'FY21 FTE'!AK$120</f>
        <v>3</v>
      </c>
      <c r="AL45" s="28">
        <f>'FY21 Final Initial $$'!AL45/'FY21 FTE'!AL$120</f>
        <v>3</v>
      </c>
      <c r="AM45" s="28">
        <f>'FY21 Final Initial $$'!AM45/'FY21 FTE'!AM$120</f>
        <v>3</v>
      </c>
      <c r="AN45" s="28">
        <f>'FY21 Final Initial $$'!AN45/'FY21 FTE'!AN$120</f>
        <v>3.000000000000004</v>
      </c>
      <c r="AO45" s="28">
        <f>'FY21 Final Initial $$'!AO45/'FY21 FTE'!AO$120</f>
        <v>0</v>
      </c>
      <c r="AP45" s="28">
        <f>'FY21 Final Initial $$'!AP45/'FY21 FTE'!AP$120</f>
        <v>0</v>
      </c>
      <c r="AQ45" s="28">
        <f>'FY21 Final Initial $$'!AQ45/'FY21 FTE'!AQ$120</f>
        <v>0</v>
      </c>
      <c r="AR45" s="28">
        <f>'FY21 Final Initial $$'!AR45/'FY21 FTE'!AR$120</f>
        <v>0</v>
      </c>
      <c r="AS45" s="28">
        <f>'FY21 Final Initial $$'!AS45/'FY21 FTE'!AS$120</f>
        <v>0</v>
      </c>
      <c r="AT45" s="28">
        <f>'FY21 Final Initial $$'!AT45/'FY21 FTE'!AT$120</f>
        <v>0</v>
      </c>
      <c r="AU45" s="28">
        <f>'FY21 Final Initial $$'!AU45/'FY21 FTE'!AU$120</f>
        <v>0</v>
      </c>
      <c r="AV45" s="28">
        <f>'FY21 Final Initial $$'!AV45/'FY21 FTE'!AV$120</f>
        <v>0</v>
      </c>
      <c r="AW45" s="28">
        <f>'FY21 Final Initial $$'!AW45/'FY21 FTE'!AW$120</f>
        <v>0</v>
      </c>
      <c r="AX45" s="28">
        <f>'FY21 Final Initial $$'!AX45/'FY21 FTE'!AX$120</f>
        <v>0</v>
      </c>
      <c r="AY45" s="28">
        <f>'FY21 Final Initial $$'!AY45/'FY21 FTE'!AY$120</f>
        <v>1</v>
      </c>
      <c r="AZ45" s="28">
        <f>'FY21 Final Initial $$'!AZ45/'FY21 FTE'!AZ$120</f>
        <v>2</v>
      </c>
      <c r="BA45" s="28">
        <f>'FY21 Final Initial $$'!BA45/'FY21 FTE'!BA$120</f>
        <v>9</v>
      </c>
      <c r="BB45" s="28">
        <f>'FY21 Final Initial $$'!BB45/'FY21 FTE'!BB$120</f>
        <v>3</v>
      </c>
      <c r="BC45" s="28">
        <f>'FY21 Final Initial $$'!BC45/'FY21 FTE'!BC$120</f>
        <v>0</v>
      </c>
      <c r="BD45" s="28">
        <f>'FY21 Final Initial $$'!BD45/'FY21 FTE'!BD$120</f>
        <v>0</v>
      </c>
      <c r="BE45" s="28">
        <f>'FY21 Final Initial $$'!BE45/'FY21 FTE'!BE$120</f>
        <v>1</v>
      </c>
      <c r="BF45" s="28">
        <f>'FY21 Final Initial $$'!BF45/'FY21 FTE'!BF$120</f>
        <v>0</v>
      </c>
      <c r="BG45" s="28">
        <f>'FY21 Final Initial $$'!BG45/'FY21 FTE'!BG$120</f>
        <v>0</v>
      </c>
      <c r="BH45" s="28">
        <f>'FY21 Final Initial $$'!BH45/'FY21 FTE'!BH$120</f>
        <v>3</v>
      </c>
      <c r="BI45" s="28">
        <f>'FY21 Final Initial $$'!BI45/'FY21 FTE'!BI$120</f>
        <v>3</v>
      </c>
      <c r="BJ45" s="28">
        <f>'FY21 Final Initial $$'!BJ45/'FY21 FTE'!BJ$120</f>
        <v>0</v>
      </c>
      <c r="BK45" s="20">
        <v>0</v>
      </c>
      <c r="BL45" s="20"/>
      <c r="BM45" s="20"/>
      <c r="BN45" s="20">
        <v>199023.65</v>
      </c>
      <c r="BO45" s="20">
        <v>3292.62</v>
      </c>
      <c r="BP45" s="20">
        <v>0</v>
      </c>
      <c r="BQ45" s="28">
        <f>'FY21 Final Initial $$'!BQ45/'FY21 FTE'!BQ$120</f>
        <v>0</v>
      </c>
      <c r="BR45" s="28">
        <f>'FY21 Final Initial $$'!BR45/'FY21 FTE'!BR$120</f>
        <v>0</v>
      </c>
      <c r="BS45" s="28">
        <f>'FY21 Final Initial $$'!BS45/'FY21 FTE'!BS$120</f>
        <v>0</v>
      </c>
      <c r="BT45" s="28">
        <f>'FY21 Final Initial $$'!BT45/'FY21 FTE'!BT$120</f>
        <v>1</v>
      </c>
      <c r="BU45" s="28">
        <f>'FY21 Final Initial $$'!BU45/'FY21 FTE'!BU$120</f>
        <v>0</v>
      </c>
      <c r="BV45" s="28">
        <f>'FY21 Final Initial $$'!BV45/'FY21 FTE'!BV$120</f>
        <v>0</v>
      </c>
      <c r="BW45" s="28">
        <f>'FY21 Final Initial $$'!BW45/'FY21 FTE'!BW$120</f>
        <v>0</v>
      </c>
      <c r="BX45" s="20">
        <v>0</v>
      </c>
      <c r="BY45" s="20">
        <v>0</v>
      </c>
      <c r="BZ45" s="20">
        <v>0</v>
      </c>
      <c r="CA45" s="20">
        <v>0</v>
      </c>
      <c r="CB45" s="28">
        <f>'FY21 Final Initial $$'!CB45/'FY21 FTE'!CB$120</f>
        <v>0</v>
      </c>
      <c r="CC45" s="28">
        <f>'FY21 Final Initial $$'!CC45/'FY21 FTE'!CC$120</f>
        <v>0</v>
      </c>
      <c r="CD45" s="20">
        <v>0</v>
      </c>
      <c r="CE45" s="28">
        <f>'FY21 Final Initial $$'!CE45/'FY21 FTE'!CE$120</f>
        <v>0</v>
      </c>
      <c r="CF45" s="28">
        <f>'FY21 Final Initial $$'!CF45/'FY21 FTE'!CF$120</f>
        <v>0</v>
      </c>
      <c r="CG45" s="28">
        <f>'FY21 Final Initial $$'!CG45/'FY21 FTE'!CG$120</f>
        <v>0</v>
      </c>
      <c r="CH45" s="28">
        <f>'FY21 Final Initial $$'!CH45/'FY21 FTE'!CH$120</f>
        <v>0</v>
      </c>
      <c r="CI45" s="28">
        <f>'FY21 Final Initial $$'!CI45/'FY21 FTE'!CI$120</f>
        <v>0</v>
      </c>
      <c r="CJ45" s="28">
        <f>'FY21 Final Initial $$'!CJ45/'FY21 FTE'!CJ$120</f>
        <v>0</v>
      </c>
      <c r="CK45" s="28">
        <f>'FY21 Final Initial $$'!CK45/'FY21 FTE'!CK$120</f>
        <v>0</v>
      </c>
      <c r="CL45" s="28">
        <f>'FY21 Final Initial $$'!CL45/'FY21 FTE'!CL$120</f>
        <v>0</v>
      </c>
      <c r="CM45" s="20">
        <v>0</v>
      </c>
      <c r="CN45" s="20">
        <v>0</v>
      </c>
      <c r="CO45" s="20">
        <v>111843.51999999999</v>
      </c>
      <c r="CP45" s="20">
        <v>0</v>
      </c>
      <c r="CQ45" s="28">
        <f>'FY21 Final Initial $$'!CQ45/'FY21 FTE'!CQ$120</f>
        <v>0</v>
      </c>
      <c r="CR45" s="20">
        <v>0</v>
      </c>
      <c r="CS45" s="20">
        <v>4540</v>
      </c>
      <c r="CT45" s="20">
        <v>0</v>
      </c>
      <c r="CU45" s="20">
        <v>25724.416179337233</v>
      </c>
      <c r="CV45" s="28">
        <f>'FY21 Final Initial $$'!CV45/'FY21 FTE'!CV$120</f>
        <v>0</v>
      </c>
      <c r="CW45" s="28">
        <f>'FY21 Final Initial $$'!CW45/'FY21 FTE'!CW$120</f>
        <v>0</v>
      </c>
      <c r="CX45" s="20">
        <v>0</v>
      </c>
      <c r="CY45" s="28">
        <f>'FY21 Final Initial $$'!CY45/'FY21 FTE'!CY$120</f>
        <v>0</v>
      </c>
      <c r="CZ45" s="20">
        <v>0</v>
      </c>
      <c r="DA45" s="20">
        <v>0</v>
      </c>
      <c r="DB45" s="20">
        <v>45500</v>
      </c>
      <c r="DC45" s="20">
        <v>103897.95622384096</v>
      </c>
      <c r="DD45" s="20">
        <v>0</v>
      </c>
      <c r="DE45" s="20">
        <v>0</v>
      </c>
      <c r="DF45" s="20">
        <v>0</v>
      </c>
      <c r="DG45" s="20">
        <v>0</v>
      </c>
      <c r="DH45" s="28">
        <f>'FY21 Final Initial $$'!DH45/'FY21 FTE'!DH$120</f>
        <v>0</v>
      </c>
      <c r="DI45" s="20"/>
      <c r="DJ45" s="20">
        <v>21725.000036880374</v>
      </c>
      <c r="DK45" s="22">
        <v>0</v>
      </c>
      <c r="DL45" s="20">
        <v>0</v>
      </c>
      <c r="DM45" s="20">
        <v>0</v>
      </c>
      <c r="DN45" s="20">
        <v>7040436.3688898068</v>
      </c>
      <c r="DO45" s="29">
        <f t="shared" si="1"/>
        <v>11</v>
      </c>
      <c r="DP45" s="29">
        <f t="shared" si="1"/>
        <v>12</v>
      </c>
      <c r="DQ45" s="29">
        <f t="shared" si="2"/>
        <v>15.000000000000004</v>
      </c>
      <c r="DR45" s="29">
        <f t="shared" si="3"/>
        <v>13</v>
      </c>
      <c r="DS45" s="29">
        <f t="shared" si="4"/>
        <v>3</v>
      </c>
    </row>
    <row r="46" spans="1:123" x14ac:dyDescent="0.25">
      <c r="A46" s="18">
        <v>254</v>
      </c>
      <c r="B46" t="s">
        <v>186</v>
      </c>
      <c r="C46" t="s">
        <v>135</v>
      </c>
      <c r="D46">
        <v>3</v>
      </c>
      <c r="E46">
        <v>756</v>
      </c>
      <c r="F46" s="19">
        <f t="shared" si="0"/>
        <v>2.5132275132275131E-2</v>
      </c>
      <c r="G46">
        <v>19</v>
      </c>
      <c r="H46" s="28">
        <f>'FY21 Final Initial $$'!H46/'FY21 FTE'!H$120</f>
        <v>1</v>
      </c>
      <c r="I46" s="28">
        <f>'FY21 Final Initial $$'!I46/'FY21 FTE'!I$120</f>
        <v>1</v>
      </c>
      <c r="J46" s="28">
        <f>'FY21 Final Initial $$'!J46/'FY21 FTE'!J$120</f>
        <v>1.9</v>
      </c>
      <c r="K46" s="28">
        <f>'FY21 Final Initial $$'!K46/'FY21 FTE'!K$120</f>
        <v>0</v>
      </c>
      <c r="L46" s="28">
        <f>'FY21 Final Initial $$'!L46/'FY21 FTE'!L$120</f>
        <v>0</v>
      </c>
      <c r="M46" s="28">
        <f>'FY21 Final Initial $$'!M46/'FY21 FTE'!M$120</f>
        <v>1</v>
      </c>
      <c r="N46" s="28">
        <f>'FY21 Final Initial $$'!N46/'FY21 FTE'!N$120</f>
        <v>1</v>
      </c>
      <c r="O46" s="28">
        <f>'FY21 Final Initial $$'!O46/'FY21 FTE'!O$120</f>
        <v>1.9</v>
      </c>
      <c r="P46" s="28">
        <f>'FY21 Final Initial $$'!P46/'FY21 FTE'!P$120</f>
        <v>0</v>
      </c>
      <c r="Q46" s="28">
        <f>'FY21 Final Initial $$'!Q46/'FY21 FTE'!Q$120</f>
        <v>0</v>
      </c>
      <c r="R46" s="28">
        <f>'FY21 Final Initial $$'!R46/'FY21 FTE'!R$120</f>
        <v>0</v>
      </c>
      <c r="S46" s="28">
        <f>'FY21 Final Initial $$'!S46/'FY21 FTE'!S$120</f>
        <v>1</v>
      </c>
      <c r="T46" s="28">
        <f>'FY21 Final Initial $$'!T46/'FY21 FTE'!T$120</f>
        <v>1</v>
      </c>
      <c r="U46" s="28">
        <f>'FY21 Final Initial $$'!U46/'FY21 FTE'!U$120</f>
        <v>3</v>
      </c>
      <c r="V46" s="28">
        <f>'FY21 Final Initial $$'!V46/'FY21 FTE'!V$120</f>
        <v>1</v>
      </c>
      <c r="W46" s="28">
        <f>'FY21 Final Initial $$'!W46/'FY21 FTE'!W$120</f>
        <v>1</v>
      </c>
      <c r="X46" s="28">
        <f>'FY21 Final Initial $$'!X46/'FY21 FTE'!X$120</f>
        <v>1</v>
      </c>
      <c r="Y46" s="28">
        <f>'FY21 Final Initial $$'!Y46/'FY21 FTE'!Y$120</f>
        <v>1</v>
      </c>
      <c r="Z46" s="28">
        <f>'FY21 Final Initial $$'!Z46/'FY21 FTE'!Z$120</f>
        <v>3.5</v>
      </c>
      <c r="AA46" s="28">
        <f>'FY21 Final Initial $$'!AA46/'FY21 FTE'!AA$120</f>
        <v>0</v>
      </c>
      <c r="AB46" s="28">
        <f>'FY21 Final Initial $$'!AB46/'FY21 FTE'!AB$120</f>
        <v>0</v>
      </c>
      <c r="AC46" s="28">
        <f>'FY21 Final Initial $$'!AC46/'FY21 FTE'!AC$120</f>
        <v>0</v>
      </c>
      <c r="AD46" s="28">
        <f>'FY21 Final Initial $$'!AD46/'FY21 FTE'!AD$120</f>
        <v>0</v>
      </c>
      <c r="AE46" s="28">
        <f>'FY21 Final Initial $$'!AE46/'FY21 FTE'!AE$120</f>
        <v>0</v>
      </c>
      <c r="AF46" s="28">
        <f>'FY21 Final Initial $$'!AF46/'FY21 FTE'!AF$120</f>
        <v>3</v>
      </c>
      <c r="AG46" s="28">
        <f>'FY21 Final Initial $$'!AG46/'FY21 FTE'!AG$120</f>
        <v>3</v>
      </c>
      <c r="AH46" s="28">
        <f>'FY21 Final Initial $$'!AH46/'FY21 FTE'!AH$120</f>
        <v>5</v>
      </c>
      <c r="AI46" s="28">
        <f>'FY21 Final Initial $$'!AI46/'FY21 FTE'!AI$120</f>
        <v>5</v>
      </c>
      <c r="AJ46" s="28">
        <f>'FY21 Final Initial $$'!AJ46/'FY21 FTE'!AJ$120</f>
        <v>5</v>
      </c>
      <c r="AK46" s="28">
        <f>'FY21 Final Initial $$'!AK46/'FY21 FTE'!AK$120</f>
        <v>5</v>
      </c>
      <c r="AL46" s="28">
        <f>'FY21 Final Initial $$'!AL46/'FY21 FTE'!AL$120</f>
        <v>6</v>
      </c>
      <c r="AM46" s="28">
        <f>'FY21 Final Initial $$'!AM46/'FY21 FTE'!AM$120</f>
        <v>5</v>
      </c>
      <c r="AN46" s="28">
        <f>'FY21 Final Initial $$'!AN46/'FY21 FTE'!AN$120</f>
        <v>5.0000000000000062</v>
      </c>
      <c r="AO46" s="28">
        <f>'FY21 Final Initial $$'!AO46/'FY21 FTE'!AO$120</f>
        <v>0</v>
      </c>
      <c r="AP46" s="28">
        <f>'FY21 Final Initial $$'!AP46/'FY21 FTE'!AP$120</f>
        <v>0</v>
      </c>
      <c r="AQ46" s="28">
        <f>'FY21 Final Initial $$'!AQ46/'FY21 FTE'!AQ$120</f>
        <v>0</v>
      </c>
      <c r="AR46" s="28">
        <f>'FY21 Final Initial $$'!AR46/'FY21 FTE'!AR$120</f>
        <v>0</v>
      </c>
      <c r="AS46" s="28">
        <f>'FY21 Final Initial $$'!AS46/'FY21 FTE'!AS$120</f>
        <v>0</v>
      </c>
      <c r="AT46" s="28">
        <f>'FY21 Final Initial $$'!AT46/'FY21 FTE'!AT$120</f>
        <v>0</v>
      </c>
      <c r="AU46" s="28">
        <f>'FY21 Final Initial $$'!AU46/'FY21 FTE'!AU$120</f>
        <v>0</v>
      </c>
      <c r="AV46" s="28">
        <f>'FY21 Final Initial $$'!AV46/'FY21 FTE'!AV$120</f>
        <v>0</v>
      </c>
      <c r="AW46" s="28">
        <f>'FY21 Final Initial $$'!AW46/'FY21 FTE'!AW$120</f>
        <v>0</v>
      </c>
      <c r="AX46" s="28">
        <f>'FY21 Final Initial $$'!AX46/'FY21 FTE'!AX$120</f>
        <v>0</v>
      </c>
      <c r="AY46" s="28">
        <f>'FY21 Final Initial $$'!AY46/'FY21 FTE'!AY$120</f>
        <v>1</v>
      </c>
      <c r="AZ46" s="28">
        <f>'FY21 Final Initial $$'!AZ46/'FY21 FTE'!AZ$120</f>
        <v>1</v>
      </c>
      <c r="BA46" s="28">
        <f>'FY21 Final Initial $$'!BA46/'FY21 FTE'!BA$120</f>
        <v>6</v>
      </c>
      <c r="BB46" s="28">
        <f>'FY21 Final Initial $$'!BB46/'FY21 FTE'!BB$120</f>
        <v>0</v>
      </c>
      <c r="BC46" s="28">
        <f>'FY21 Final Initial $$'!BC46/'FY21 FTE'!BC$120</f>
        <v>0</v>
      </c>
      <c r="BD46" s="28">
        <f>'FY21 Final Initial $$'!BD46/'FY21 FTE'!BD$120</f>
        <v>0</v>
      </c>
      <c r="BE46" s="28">
        <f>'FY21 Final Initial $$'!BE46/'FY21 FTE'!BE$120</f>
        <v>1.5</v>
      </c>
      <c r="BF46" s="28">
        <f>'FY21 Final Initial $$'!BF46/'FY21 FTE'!BF$120</f>
        <v>0</v>
      </c>
      <c r="BG46" s="28">
        <f>'FY21 Final Initial $$'!BG46/'FY21 FTE'!BG$120</f>
        <v>0</v>
      </c>
      <c r="BH46" s="28">
        <f>'FY21 Final Initial $$'!BH46/'FY21 FTE'!BH$120</f>
        <v>0</v>
      </c>
      <c r="BI46" s="28">
        <f>'FY21 Final Initial $$'!BI46/'FY21 FTE'!BI$120</f>
        <v>0</v>
      </c>
      <c r="BJ46" s="28">
        <f>'FY21 Final Initial $$'!BJ46/'FY21 FTE'!BJ$120</f>
        <v>0</v>
      </c>
      <c r="BK46" s="20">
        <v>0</v>
      </c>
      <c r="BL46" s="20"/>
      <c r="BM46" s="20"/>
      <c r="BN46" s="20">
        <v>0</v>
      </c>
      <c r="BO46" s="20">
        <v>0</v>
      </c>
      <c r="BP46" s="20">
        <v>18800</v>
      </c>
      <c r="BQ46" s="28">
        <f>'FY21 Final Initial $$'!BQ46/'FY21 FTE'!BQ$120</f>
        <v>0</v>
      </c>
      <c r="BR46" s="28">
        <f>'FY21 Final Initial $$'!BR46/'FY21 FTE'!BR$120</f>
        <v>0</v>
      </c>
      <c r="BS46" s="28">
        <f>'FY21 Final Initial $$'!BS46/'FY21 FTE'!BS$120</f>
        <v>0</v>
      </c>
      <c r="BT46" s="28">
        <f>'FY21 Final Initial $$'!BT46/'FY21 FTE'!BT$120</f>
        <v>0</v>
      </c>
      <c r="BU46" s="28">
        <f>'FY21 Final Initial $$'!BU46/'FY21 FTE'!BU$120</f>
        <v>0</v>
      </c>
      <c r="BV46" s="28">
        <f>'FY21 Final Initial $$'!BV46/'FY21 FTE'!BV$120</f>
        <v>0</v>
      </c>
      <c r="BW46" s="28">
        <f>'FY21 Final Initial $$'!BW46/'FY21 FTE'!BW$120</f>
        <v>0</v>
      </c>
      <c r="BX46" s="20">
        <v>0</v>
      </c>
      <c r="BY46" s="20">
        <v>0</v>
      </c>
      <c r="BZ46" s="20">
        <v>0</v>
      </c>
      <c r="CA46" s="20">
        <v>0</v>
      </c>
      <c r="CB46" s="28">
        <f>'FY21 Final Initial $$'!CB46/'FY21 FTE'!CB$120</f>
        <v>0</v>
      </c>
      <c r="CC46" s="28">
        <f>'FY21 Final Initial $$'!CC46/'FY21 FTE'!CC$120</f>
        <v>0</v>
      </c>
      <c r="CD46" s="20">
        <v>0</v>
      </c>
      <c r="CE46" s="28">
        <f>'FY21 Final Initial $$'!CE46/'FY21 FTE'!CE$120</f>
        <v>0</v>
      </c>
      <c r="CF46" s="28">
        <f>'FY21 Final Initial $$'!CF46/'FY21 FTE'!CF$120</f>
        <v>0</v>
      </c>
      <c r="CG46" s="28">
        <f>'FY21 Final Initial $$'!CG46/'FY21 FTE'!CG$120</f>
        <v>0</v>
      </c>
      <c r="CH46" s="28">
        <f>'FY21 Final Initial $$'!CH46/'FY21 FTE'!CH$120</f>
        <v>0</v>
      </c>
      <c r="CI46" s="28">
        <f>'FY21 Final Initial $$'!CI46/'FY21 FTE'!CI$120</f>
        <v>0</v>
      </c>
      <c r="CJ46" s="28">
        <f>'FY21 Final Initial $$'!CJ46/'FY21 FTE'!CJ$120</f>
        <v>0</v>
      </c>
      <c r="CK46" s="28">
        <f>'FY21 Final Initial $$'!CK46/'FY21 FTE'!CK$120</f>
        <v>0</v>
      </c>
      <c r="CL46" s="28">
        <f>'FY21 Final Initial $$'!CL46/'FY21 FTE'!CL$120</f>
        <v>0</v>
      </c>
      <c r="CM46" s="20">
        <v>0</v>
      </c>
      <c r="CN46" s="20">
        <v>0</v>
      </c>
      <c r="CO46" s="20">
        <v>111843.51999999999</v>
      </c>
      <c r="CP46" s="20">
        <v>0</v>
      </c>
      <c r="CQ46" s="28">
        <f>'FY21 Final Initial $$'!CQ46/'FY21 FTE'!CQ$120</f>
        <v>0</v>
      </c>
      <c r="CR46" s="20">
        <v>0</v>
      </c>
      <c r="CS46" s="20">
        <v>0</v>
      </c>
      <c r="CT46" s="20">
        <v>0</v>
      </c>
      <c r="CU46" s="20">
        <v>38248.725761772854</v>
      </c>
      <c r="CV46" s="28">
        <f>'FY21 Final Initial $$'!CV46/'FY21 FTE'!CV$120</f>
        <v>0</v>
      </c>
      <c r="CW46" s="28">
        <f>'FY21 Final Initial $$'!CW46/'FY21 FTE'!CW$120</f>
        <v>0</v>
      </c>
      <c r="CX46" s="20">
        <v>0</v>
      </c>
      <c r="CY46" s="28">
        <f>'FY21 Final Initial $$'!CY46/'FY21 FTE'!CY$120</f>
        <v>0</v>
      </c>
      <c r="CZ46" s="20">
        <v>0</v>
      </c>
      <c r="DA46" s="20">
        <v>0</v>
      </c>
      <c r="DB46" s="20">
        <v>75600</v>
      </c>
      <c r="DC46" s="20">
        <v>113299.34122795697</v>
      </c>
      <c r="DD46" s="20">
        <v>486182.2497831285</v>
      </c>
      <c r="DE46" s="20">
        <v>0</v>
      </c>
      <c r="DF46" s="20">
        <v>0</v>
      </c>
      <c r="DG46" s="20">
        <v>0</v>
      </c>
      <c r="DH46" s="28">
        <f>'FY21 Final Initial $$'!DH46/'FY21 FTE'!DH$120</f>
        <v>0</v>
      </c>
      <c r="DI46" s="20"/>
      <c r="DJ46" s="20">
        <v>1400.0000079860911</v>
      </c>
      <c r="DK46" s="22">
        <v>0</v>
      </c>
      <c r="DL46" s="20">
        <v>0</v>
      </c>
      <c r="DM46" s="20">
        <v>0</v>
      </c>
      <c r="DN46" s="20">
        <v>7882600.0000079861</v>
      </c>
      <c r="DO46" s="29">
        <f t="shared" si="1"/>
        <v>8</v>
      </c>
      <c r="DP46" s="29">
        <f t="shared" si="1"/>
        <v>8</v>
      </c>
      <c r="DQ46" s="29">
        <f t="shared" si="2"/>
        <v>26.000000000000007</v>
      </c>
      <c r="DR46" s="29">
        <f t="shared" si="3"/>
        <v>9.5</v>
      </c>
      <c r="DS46" s="29">
        <f t="shared" si="4"/>
        <v>0</v>
      </c>
    </row>
    <row r="47" spans="1:123" x14ac:dyDescent="0.25">
      <c r="A47" s="18">
        <v>433</v>
      </c>
      <c r="B47" t="s">
        <v>187</v>
      </c>
      <c r="C47" t="s">
        <v>152</v>
      </c>
      <c r="D47">
        <v>6</v>
      </c>
      <c r="E47">
        <v>359</v>
      </c>
      <c r="F47" s="19">
        <f t="shared" si="0"/>
        <v>0.6044568245125348</v>
      </c>
      <c r="G47">
        <v>217</v>
      </c>
      <c r="H47" s="28">
        <f>'FY21 Final Initial $$'!H47/'FY21 FTE'!H$120</f>
        <v>1</v>
      </c>
      <c r="I47" s="28">
        <f>'FY21 Final Initial $$'!I47/'FY21 FTE'!I$120</f>
        <v>1</v>
      </c>
      <c r="J47" s="28">
        <f>'FY21 Final Initial $$'!J47/'FY21 FTE'!J$120</f>
        <v>1.2</v>
      </c>
      <c r="K47" s="28">
        <f>'FY21 Final Initial $$'!K47/'FY21 FTE'!K$120</f>
        <v>1</v>
      </c>
      <c r="L47" s="28">
        <f>'FY21 Final Initial $$'!L47/'FY21 FTE'!L$120</f>
        <v>0</v>
      </c>
      <c r="M47" s="28">
        <f>'FY21 Final Initial $$'!M47/'FY21 FTE'!M$120</f>
        <v>1</v>
      </c>
      <c r="N47" s="28">
        <f>'FY21 Final Initial $$'!N47/'FY21 FTE'!N$120</f>
        <v>1</v>
      </c>
      <c r="O47" s="28">
        <f>'FY21 Final Initial $$'!O47/'FY21 FTE'!O$120</f>
        <v>0</v>
      </c>
      <c r="P47" s="28">
        <f>'FY21 Final Initial $$'!P47/'FY21 FTE'!P$120</f>
        <v>0</v>
      </c>
      <c r="Q47" s="28">
        <f>'FY21 Final Initial $$'!Q47/'FY21 FTE'!Q$120</f>
        <v>0</v>
      </c>
      <c r="R47" s="28">
        <f>'FY21 Final Initial $$'!R47/'FY21 FTE'!R$120</f>
        <v>0</v>
      </c>
      <c r="S47" s="28">
        <f>'FY21 Final Initial $$'!S47/'FY21 FTE'!S$120</f>
        <v>1</v>
      </c>
      <c r="T47" s="28">
        <f>'FY21 Final Initial $$'!T47/'FY21 FTE'!T$120</f>
        <v>1</v>
      </c>
      <c r="U47" s="28">
        <f>'FY21 Final Initial $$'!U47/'FY21 FTE'!U$120</f>
        <v>3</v>
      </c>
      <c r="V47" s="28">
        <f>'FY21 Final Initial $$'!V47/'FY21 FTE'!V$120</f>
        <v>1</v>
      </c>
      <c r="W47" s="28">
        <f>'FY21 Final Initial $$'!W47/'FY21 FTE'!W$120</f>
        <v>0</v>
      </c>
      <c r="X47" s="28">
        <f>'FY21 Final Initial $$'!X47/'FY21 FTE'!X$120</f>
        <v>0</v>
      </c>
      <c r="Y47" s="28">
        <f>'FY21 Final Initial $$'!Y47/'FY21 FTE'!Y$120</f>
        <v>0</v>
      </c>
      <c r="Z47" s="28">
        <f>'FY21 Final Initial $$'!Z47/'FY21 FTE'!Z$120</f>
        <v>0</v>
      </c>
      <c r="AA47" s="28">
        <f>'FY21 Final Initial $$'!AA47/'FY21 FTE'!AA$120</f>
        <v>0</v>
      </c>
      <c r="AB47" s="28">
        <f>'FY21 Final Initial $$'!AB47/'FY21 FTE'!AB$120</f>
        <v>0</v>
      </c>
      <c r="AC47" s="28">
        <f>'FY21 Final Initial $$'!AC47/'FY21 FTE'!AC$120</f>
        <v>0</v>
      </c>
      <c r="AD47" s="28">
        <f>'FY21 Final Initial $$'!AD47/'FY21 FTE'!AD$120</f>
        <v>0</v>
      </c>
      <c r="AE47" s="28">
        <f>'FY21 Final Initial $$'!AE47/'FY21 FTE'!AE$120</f>
        <v>0</v>
      </c>
      <c r="AF47" s="28">
        <f>'FY21 Final Initial $$'!AF47/'FY21 FTE'!AF$120</f>
        <v>0</v>
      </c>
      <c r="AG47" s="28">
        <f>'FY21 Final Initial $$'!AG47/'FY21 FTE'!AG$120</f>
        <v>0</v>
      </c>
      <c r="AH47" s="28">
        <f>'FY21 Final Initial $$'!AH47/'FY21 FTE'!AH$120</f>
        <v>0</v>
      </c>
      <c r="AI47" s="28">
        <f>'FY21 Final Initial $$'!AI47/'FY21 FTE'!AI$120</f>
        <v>0</v>
      </c>
      <c r="AJ47" s="28">
        <f>'FY21 Final Initial $$'!AJ47/'FY21 FTE'!AJ$120</f>
        <v>0</v>
      </c>
      <c r="AK47" s="28">
        <f>'FY21 Final Initial $$'!AK47/'FY21 FTE'!AK$120</f>
        <v>0</v>
      </c>
      <c r="AL47" s="28">
        <f>'FY21 Final Initial $$'!AL47/'FY21 FTE'!AL$120</f>
        <v>0</v>
      </c>
      <c r="AM47" s="28">
        <f>'FY21 Final Initial $$'!AM47/'FY21 FTE'!AM$120</f>
        <v>0</v>
      </c>
      <c r="AN47" s="28">
        <f>'FY21 Final Initial $$'!AN47/'FY21 FTE'!AN$120</f>
        <v>0</v>
      </c>
      <c r="AO47" s="28">
        <f>'FY21 Final Initial $$'!AO47/'FY21 FTE'!AO$120</f>
        <v>5.3</v>
      </c>
      <c r="AP47" s="28">
        <f>'FY21 Final Initial $$'!AP47/'FY21 FTE'!AP$120</f>
        <v>5</v>
      </c>
      <c r="AQ47" s="28">
        <f>'FY21 Final Initial $$'!AQ47/'FY21 FTE'!AQ$120</f>
        <v>6</v>
      </c>
      <c r="AR47" s="28">
        <f>'FY21 Final Initial $$'!AR47/'FY21 FTE'!AR$120</f>
        <v>0</v>
      </c>
      <c r="AS47" s="28">
        <f>'FY21 Final Initial $$'!AS47/'FY21 FTE'!AS$120</f>
        <v>0</v>
      </c>
      <c r="AT47" s="28">
        <f>'FY21 Final Initial $$'!AT47/'FY21 FTE'!AT$120</f>
        <v>0</v>
      </c>
      <c r="AU47" s="28">
        <f>'FY21 Final Initial $$'!AU47/'FY21 FTE'!AU$120</f>
        <v>0</v>
      </c>
      <c r="AV47" s="28">
        <f>'FY21 Final Initial $$'!AV47/'FY21 FTE'!AV$120</f>
        <v>0</v>
      </c>
      <c r="AW47" s="28">
        <f>'FY21 Final Initial $$'!AW47/'FY21 FTE'!AW$120</f>
        <v>0</v>
      </c>
      <c r="AX47" s="28">
        <f>'FY21 Final Initial $$'!AX47/'FY21 FTE'!AX$120</f>
        <v>0</v>
      </c>
      <c r="AY47" s="28">
        <f>'FY21 Final Initial $$'!AY47/'FY21 FTE'!AY$120</f>
        <v>1</v>
      </c>
      <c r="AZ47" s="28">
        <f>'FY21 Final Initial $$'!AZ47/'FY21 FTE'!AZ$120</f>
        <v>2</v>
      </c>
      <c r="BA47" s="28">
        <f>'FY21 Final Initial $$'!BA47/'FY21 FTE'!BA$120</f>
        <v>8</v>
      </c>
      <c r="BB47" s="28">
        <f>'FY21 Final Initial $$'!BB47/'FY21 FTE'!BB$120</f>
        <v>3</v>
      </c>
      <c r="BC47" s="28">
        <f>'FY21 Final Initial $$'!BC47/'FY21 FTE'!BC$120</f>
        <v>0</v>
      </c>
      <c r="BD47" s="28">
        <f>'FY21 Final Initial $$'!BD47/'FY21 FTE'!BD$120</f>
        <v>0</v>
      </c>
      <c r="BE47" s="28">
        <f>'FY21 Final Initial $$'!BE47/'FY21 FTE'!BE$120</f>
        <v>0.13636363636363635</v>
      </c>
      <c r="BF47" s="28">
        <f>'FY21 Final Initial $$'!BF47/'FY21 FTE'!BF$120</f>
        <v>0</v>
      </c>
      <c r="BG47" s="28">
        <f>'FY21 Final Initial $$'!BG47/'FY21 FTE'!BG$120</f>
        <v>0</v>
      </c>
      <c r="BH47" s="28">
        <f>'FY21 Final Initial $$'!BH47/'FY21 FTE'!BH$120</f>
        <v>2</v>
      </c>
      <c r="BI47" s="28">
        <f>'FY21 Final Initial $$'!BI47/'FY21 FTE'!BI$120</f>
        <v>2</v>
      </c>
      <c r="BJ47" s="28">
        <f>'FY21 Final Initial $$'!BJ47/'FY21 FTE'!BJ$120</f>
        <v>1</v>
      </c>
      <c r="BK47" s="20">
        <v>0</v>
      </c>
      <c r="BL47" s="20"/>
      <c r="BM47" s="20"/>
      <c r="BN47" s="20">
        <v>150439.72</v>
      </c>
      <c r="BO47" s="20">
        <v>2488.86</v>
      </c>
      <c r="BP47" s="20">
        <v>0</v>
      </c>
      <c r="BQ47" s="28">
        <f>'FY21 Final Initial $$'!BQ47/'FY21 FTE'!BQ$120</f>
        <v>0</v>
      </c>
      <c r="BR47" s="28">
        <f>'FY21 Final Initial $$'!BR47/'FY21 FTE'!BR$120</f>
        <v>0</v>
      </c>
      <c r="BS47" s="28">
        <f>'FY21 Final Initial $$'!BS47/'FY21 FTE'!BS$120</f>
        <v>1</v>
      </c>
      <c r="BT47" s="28">
        <f>'FY21 Final Initial $$'!BT47/'FY21 FTE'!BT$120</f>
        <v>0</v>
      </c>
      <c r="BU47" s="28">
        <f>'FY21 Final Initial $$'!BU47/'FY21 FTE'!BU$120</f>
        <v>0</v>
      </c>
      <c r="BV47" s="28">
        <f>'FY21 Final Initial $$'!BV47/'FY21 FTE'!BV$120</f>
        <v>0</v>
      </c>
      <c r="BW47" s="28">
        <f>'FY21 Final Initial $$'!BW47/'FY21 FTE'!BW$120</f>
        <v>0</v>
      </c>
      <c r="BX47" s="20">
        <v>0</v>
      </c>
      <c r="BY47" s="20">
        <v>0</v>
      </c>
      <c r="BZ47" s="20">
        <v>0</v>
      </c>
      <c r="CA47" s="20">
        <v>0</v>
      </c>
      <c r="CB47" s="28">
        <f>'FY21 Final Initial $$'!CB47/'FY21 FTE'!CB$120</f>
        <v>0</v>
      </c>
      <c r="CC47" s="28">
        <f>'FY21 Final Initial $$'!CC47/'FY21 FTE'!CC$120</f>
        <v>0</v>
      </c>
      <c r="CD47" s="20">
        <v>0</v>
      </c>
      <c r="CE47" s="28">
        <f>'FY21 Final Initial $$'!CE47/'FY21 FTE'!CE$120</f>
        <v>0</v>
      </c>
      <c r="CF47" s="28">
        <f>'FY21 Final Initial $$'!CF47/'FY21 FTE'!CF$120</f>
        <v>0</v>
      </c>
      <c r="CG47" s="28">
        <f>'FY21 Final Initial $$'!CG47/'FY21 FTE'!CG$120</f>
        <v>0</v>
      </c>
      <c r="CH47" s="28">
        <f>'FY21 Final Initial $$'!CH47/'FY21 FTE'!CH$120</f>
        <v>0</v>
      </c>
      <c r="CI47" s="28">
        <f>'FY21 Final Initial $$'!CI47/'FY21 FTE'!CI$120</f>
        <v>0</v>
      </c>
      <c r="CJ47" s="28">
        <f>'FY21 Final Initial $$'!CJ47/'FY21 FTE'!CJ$120</f>
        <v>0</v>
      </c>
      <c r="CK47" s="28">
        <f>'FY21 Final Initial $$'!CK47/'FY21 FTE'!CK$120</f>
        <v>3</v>
      </c>
      <c r="CL47" s="28">
        <f>'FY21 Final Initial $$'!CL47/'FY21 FTE'!CL$120</f>
        <v>0</v>
      </c>
      <c r="CM47" s="20">
        <v>23000</v>
      </c>
      <c r="CN47" s="20">
        <v>5000</v>
      </c>
      <c r="CO47" s="20">
        <v>244045.91999999998</v>
      </c>
      <c r="CP47" s="20">
        <v>100000</v>
      </c>
      <c r="CQ47" s="28">
        <f>'FY21 Final Initial $$'!CQ47/'FY21 FTE'!CQ$120</f>
        <v>0</v>
      </c>
      <c r="CR47" s="20">
        <v>0</v>
      </c>
      <c r="CS47" s="20">
        <v>4340</v>
      </c>
      <c r="CT47" s="20">
        <v>0</v>
      </c>
      <c r="CU47" s="20">
        <v>27870.54074074074</v>
      </c>
      <c r="CV47" s="28">
        <f>'FY21 Final Initial $$'!CV47/'FY21 FTE'!CV$120</f>
        <v>0</v>
      </c>
      <c r="CW47" s="28">
        <f>'FY21 Final Initial $$'!CW47/'FY21 FTE'!CW$120</f>
        <v>0</v>
      </c>
      <c r="CX47" s="20">
        <v>0</v>
      </c>
      <c r="CY47" s="28">
        <f>'FY21 Final Initial $$'!CY47/'FY21 FTE'!CY$120</f>
        <v>0</v>
      </c>
      <c r="CZ47" s="20">
        <v>0</v>
      </c>
      <c r="DA47" s="20">
        <v>0</v>
      </c>
      <c r="DB47" s="20">
        <v>35900</v>
      </c>
      <c r="DC47" s="20">
        <v>78444.356929528716</v>
      </c>
      <c r="DD47" s="20">
        <v>0</v>
      </c>
      <c r="DE47" s="20">
        <v>0</v>
      </c>
      <c r="DF47" s="20">
        <v>0</v>
      </c>
      <c r="DG47" s="20">
        <v>0</v>
      </c>
      <c r="DH47" s="28">
        <f>'FY21 Final Initial $$'!DH47/'FY21 FTE'!DH$120</f>
        <v>0</v>
      </c>
      <c r="DI47" s="20"/>
      <c r="DJ47" s="20">
        <v>44525.000857189298</v>
      </c>
      <c r="DK47" s="22">
        <v>0</v>
      </c>
      <c r="DL47" s="20">
        <v>0</v>
      </c>
      <c r="DM47" s="20">
        <v>0</v>
      </c>
      <c r="DN47" s="20">
        <v>5527754.7047093669</v>
      </c>
      <c r="DO47" s="29">
        <f t="shared" si="1"/>
        <v>0</v>
      </c>
      <c r="DP47" s="29">
        <f t="shared" si="1"/>
        <v>0</v>
      </c>
      <c r="DQ47" s="29">
        <f t="shared" si="2"/>
        <v>16.3</v>
      </c>
      <c r="DR47" s="29">
        <f t="shared" si="3"/>
        <v>11.136363636363637</v>
      </c>
      <c r="DS47" s="29">
        <f t="shared" si="4"/>
        <v>3</v>
      </c>
    </row>
    <row r="48" spans="1:123" x14ac:dyDescent="0.25">
      <c r="A48" s="18">
        <v>416</v>
      </c>
      <c r="B48" t="s">
        <v>188</v>
      </c>
      <c r="C48" t="s">
        <v>152</v>
      </c>
      <c r="D48">
        <v>8</v>
      </c>
      <c r="E48">
        <v>355</v>
      </c>
      <c r="F48" s="19">
        <f t="shared" si="0"/>
        <v>0.73521126760563382</v>
      </c>
      <c r="G48">
        <v>261</v>
      </c>
      <c r="H48" s="28">
        <f>'FY21 Final Initial $$'!H48/'FY21 FTE'!H$120</f>
        <v>1</v>
      </c>
      <c r="I48" s="28">
        <f>'FY21 Final Initial $$'!I48/'FY21 FTE'!I$120</f>
        <v>1</v>
      </c>
      <c r="J48" s="28">
        <f>'FY21 Final Initial $$'!J48/'FY21 FTE'!J$120</f>
        <v>1.2</v>
      </c>
      <c r="K48" s="28">
        <f>'FY21 Final Initial $$'!K48/'FY21 FTE'!K$120</f>
        <v>1</v>
      </c>
      <c r="L48" s="28">
        <f>'FY21 Final Initial $$'!L48/'FY21 FTE'!L$120</f>
        <v>0</v>
      </c>
      <c r="M48" s="28">
        <f>'FY21 Final Initial $$'!M48/'FY21 FTE'!M$120</f>
        <v>1</v>
      </c>
      <c r="N48" s="28">
        <f>'FY21 Final Initial $$'!N48/'FY21 FTE'!N$120</f>
        <v>1</v>
      </c>
      <c r="O48" s="28">
        <f>'FY21 Final Initial $$'!O48/'FY21 FTE'!O$120</f>
        <v>0</v>
      </c>
      <c r="P48" s="28">
        <f>'FY21 Final Initial $$'!P48/'FY21 FTE'!P$120</f>
        <v>0</v>
      </c>
      <c r="Q48" s="28">
        <f>'FY21 Final Initial $$'!Q48/'FY21 FTE'!Q$120</f>
        <v>1.0000004487061702</v>
      </c>
      <c r="R48" s="28">
        <f>'FY21 Final Initial $$'!R48/'FY21 FTE'!R$120</f>
        <v>0</v>
      </c>
      <c r="S48" s="28">
        <f>'FY21 Final Initial $$'!S48/'FY21 FTE'!S$120</f>
        <v>1</v>
      </c>
      <c r="T48" s="28">
        <f>'FY21 Final Initial $$'!T48/'FY21 FTE'!T$120</f>
        <v>1</v>
      </c>
      <c r="U48" s="28">
        <f>'FY21 Final Initial $$'!U48/'FY21 FTE'!U$120</f>
        <v>4</v>
      </c>
      <c r="V48" s="28">
        <f>'FY21 Final Initial $$'!V48/'FY21 FTE'!V$120</f>
        <v>1</v>
      </c>
      <c r="W48" s="28">
        <f>'FY21 Final Initial $$'!W48/'FY21 FTE'!W$120</f>
        <v>0</v>
      </c>
      <c r="X48" s="28">
        <f>'FY21 Final Initial $$'!X48/'FY21 FTE'!X$120</f>
        <v>0</v>
      </c>
      <c r="Y48" s="28">
        <f>'FY21 Final Initial $$'!Y48/'FY21 FTE'!Y$120</f>
        <v>0</v>
      </c>
      <c r="Z48" s="28">
        <f>'FY21 Final Initial $$'!Z48/'FY21 FTE'!Z$120</f>
        <v>0</v>
      </c>
      <c r="AA48" s="28">
        <f>'FY21 Final Initial $$'!AA48/'FY21 FTE'!AA$120</f>
        <v>0</v>
      </c>
      <c r="AB48" s="28">
        <f>'FY21 Final Initial $$'!AB48/'FY21 FTE'!AB$120</f>
        <v>0</v>
      </c>
      <c r="AC48" s="28">
        <f>'FY21 Final Initial $$'!AC48/'FY21 FTE'!AC$120</f>
        <v>0</v>
      </c>
      <c r="AD48" s="28">
        <f>'FY21 Final Initial $$'!AD48/'FY21 FTE'!AD$120</f>
        <v>0</v>
      </c>
      <c r="AE48" s="28">
        <f>'FY21 Final Initial $$'!AE48/'FY21 FTE'!AE$120</f>
        <v>0</v>
      </c>
      <c r="AF48" s="28">
        <f>'FY21 Final Initial $$'!AF48/'FY21 FTE'!AF$120</f>
        <v>0</v>
      </c>
      <c r="AG48" s="28">
        <f>'FY21 Final Initial $$'!AG48/'FY21 FTE'!AG$120</f>
        <v>0</v>
      </c>
      <c r="AH48" s="28">
        <f>'FY21 Final Initial $$'!AH48/'FY21 FTE'!AH$120</f>
        <v>0</v>
      </c>
      <c r="AI48" s="28">
        <f>'FY21 Final Initial $$'!AI48/'FY21 FTE'!AI$120</f>
        <v>0</v>
      </c>
      <c r="AJ48" s="28">
        <f>'FY21 Final Initial $$'!AJ48/'FY21 FTE'!AJ$120</f>
        <v>0</v>
      </c>
      <c r="AK48" s="28">
        <f>'FY21 Final Initial $$'!AK48/'FY21 FTE'!AK$120</f>
        <v>0</v>
      </c>
      <c r="AL48" s="28">
        <f>'FY21 Final Initial $$'!AL48/'FY21 FTE'!AL$120</f>
        <v>0</v>
      </c>
      <c r="AM48" s="28">
        <f>'FY21 Final Initial $$'!AM48/'FY21 FTE'!AM$120</f>
        <v>0</v>
      </c>
      <c r="AN48" s="28">
        <f>'FY21 Final Initial $$'!AN48/'FY21 FTE'!AN$120</f>
        <v>0</v>
      </c>
      <c r="AO48" s="28">
        <f>'FY21 Final Initial $$'!AO48/'FY21 FTE'!AO$120</f>
        <v>5.3</v>
      </c>
      <c r="AP48" s="28">
        <f>'FY21 Final Initial $$'!AP48/'FY21 FTE'!AP$120</f>
        <v>5.3</v>
      </c>
      <c r="AQ48" s="28">
        <f>'FY21 Final Initial $$'!AQ48/'FY21 FTE'!AQ$120</f>
        <v>5.5</v>
      </c>
      <c r="AR48" s="28">
        <f>'FY21 Final Initial $$'!AR48/'FY21 FTE'!AR$120</f>
        <v>0</v>
      </c>
      <c r="AS48" s="28">
        <f>'FY21 Final Initial $$'!AS48/'FY21 FTE'!AS$120</f>
        <v>0</v>
      </c>
      <c r="AT48" s="28">
        <f>'FY21 Final Initial $$'!AT48/'FY21 FTE'!AT$120</f>
        <v>0</v>
      </c>
      <c r="AU48" s="28">
        <f>'FY21 Final Initial $$'!AU48/'FY21 FTE'!AU$120</f>
        <v>0</v>
      </c>
      <c r="AV48" s="28">
        <f>'FY21 Final Initial $$'!AV48/'FY21 FTE'!AV$120</f>
        <v>0</v>
      </c>
      <c r="AW48" s="28">
        <f>'FY21 Final Initial $$'!AW48/'FY21 FTE'!AW$120</f>
        <v>0</v>
      </c>
      <c r="AX48" s="28">
        <f>'FY21 Final Initial $$'!AX48/'FY21 FTE'!AX$120</f>
        <v>0</v>
      </c>
      <c r="AY48" s="28">
        <f>'FY21 Final Initial $$'!AY48/'FY21 FTE'!AY$120</f>
        <v>1</v>
      </c>
      <c r="AZ48" s="28">
        <f>'FY21 Final Initial $$'!AZ48/'FY21 FTE'!AZ$120</f>
        <v>3</v>
      </c>
      <c r="BA48" s="28">
        <f>'FY21 Final Initial $$'!BA48/'FY21 FTE'!BA$120</f>
        <v>8</v>
      </c>
      <c r="BB48" s="28">
        <f>'FY21 Final Initial $$'!BB48/'FY21 FTE'!BB$120</f>
        <v>2</v>
      </c>
      <c r="BC48" s="28">
        <f>'FY21 Final Initial $$'!BC48/'FY21 FTE'!BC$120</f>
        <v>1</v>
      </c>
      <c r="BD48" s="28">
        <f>'FY21 Final Initial $$'!BD48/'FY21 FTE'!BD$120</f>
        <v>0</v>
      </c>
      <c r="BE48" s="28">
        <f>'FY21 Final Initial $$'!BE48/'FY21 FTE'!BE$120</f>
        <v>0.13636363636363635</v>
      </c>
      <c r="BF48" s="28">
        <f>'FY21 Final Initial $$'!BF48/'FY21 FTE'!BF$120</f>
        <v>0</v>
      </c>
      <c r="BG48" s="28">
        <f>'FY21 Final Initial $$'!BG48/'FY21 FTE'!BG$120</f>
        <v>0</v>
      </c>
      <c r="BH48" s="28">
        <f>'FY21 Final Initial $$'!BH48/'FY21 FTE'!BH$120</f>
        <v>0</v>
      </c>
      <c r="BI48" s="28">
        <f>'FY21 Final Initial $$'!BI48/'FY21 FTE'!BI$120</f>
        <v>0</v>
      </c>
      <c r="BJ48" s="28">
        <f>'FY21 Final Initial $$'!BJ48/'FY21 FTE'!BJ$120</f>
        <v>0</v>
      </c>
      <c r="BK48" s="20">
        <v>0</v>
      </c>
      <c r="BL48" s="20"/>
      <c r="BM48" s="20"/>
      <c r="BN48" s="20">
        <v>143620.92000000001</v>
      </c>
      <c r="BO48" s="20">
        <v>2376.0500000000002</v>
      </c>
      <c r="BP48" s="20">
        <v>0</v>
      </c>
      <c r="BQ48" s="28">
        <f>'FY21 Final Initial $$'!BQ48/'FY21 FTE'!BQ$120</f>
        <v>0</v>
      </c>
      <c r="BR48" s="28">
        <f>'FY21 Final Initial $$'!BR48/'FY21 FTE'!BR$120</f>
        <v>1</v>
      </c>
      <c r="BS48" s="28">
        <f>'FY21 Final Initial $$'!BS48/'FY21 FTE'!BS$120</f>
        <v>1</v>
      </c>
      <c r="BT48" s="28">
        <f>'FY21 Final Initial $$'!BT48/'FY21 FTE'!BT$120</f>
        <v>0</v>
      </c>
      <c r="BU48" s="28">
        <f>'FY21 Final Initial $$'!BU48/'FY21 FTE'!BU$120</f>
        <v>0</v>
      </c>
      <c r="BV48" s="28">
        <f>'FY21 Final Initial $$'!BV48/'FY21 FTE'!BV$120</f>
        <v>0</v>
      </c>
      <c r="BW48" s="28">
        <f>'FY21 Final Initial $$'!BW48/'FY21 FTE'!BW$120</f>
        <v>0</v>
      </c>
      <c r="BX48" s="20">
        <v>0</v>
      </c>
      <c r="BY48" s="20">
        <v>0</v>
      </c>
      <c r="BZ48" s="20">
        <v>0</v>
      </c>
      <c r="CA48" s="20">
        <v>0</v>
      </c>
      <c r="CB48" s="28">
        <f>'FY21 Final Initial $$'!CB48/'FY21 FTE'!CB$120</f>
        <v>0</v>
      </c>
      <c r="CC48" s="28">
        <f>'FY21 Final Initial $$'!CC48/'FY21 FTE'!CC$120</f>
        <v>0</v>
      </c>
      <c r="CD48" s="20">
        <v>0</v>
      </c>
      <c r="CE48" s="28">
        <f>'FY21 Final Initial $$'!CE48/'FY21 FTE'!CE$120</f>
        <v>0</v>
      </c>
      <c r="CF48" s="28">
        <f>'FY21 Final Initial $$'!CF48/'FY21 FTE'!CF$120</f>
        <v>0</v>
      </c>
      <c r="CG48" s="28">
        <f>'FY21 Final Initial $$'!CG48/'FY21 FTE'!CG$120</f>
        <v>0</v>
      </c>
      <c r="CH48" s="28">
        <f>'FY21 Final Initial $$'!CH48/'FY21 FTE'!CH$120</f>
        <v>0</v>
      </c>
      <c r="CI48" s="28">
        <f>'FY21 Final Initial $$'!CI48/'FY21 FTE'!CI$120</f>
        <v>0</v>
      </c>
      <c r="CJ48" s="28">
        <f>'FY21 Final Initial $$'!CJ48/'FY21 FTE'!CJ$120</f>
        <v>0</v>
      </c>
      <c r="CK48" s="28">
        <f>'FY21 Final Initial $$'!CK48/'FY21 FTE'!CK$120</f>
        <v>3</v>
      </c>
      <c r="CL48" s="28">
        <f>'FY21 Final Initial $$'!CL48/'FY21 FTE'!CL$120</f>
        <v>0</v>
      </c>
      <c r="CM48" s="20">
        <v>23000</v>
      </c>
      <c r="CN48" s="20">
        <v>5000</v>
      </c>
      <c r="CO48" s="20">
        <v>244045.91999999998</v>
      </c>
      <c r="CP48" s="20">
        <v>100000</v>
      </c>
      <c r="CQ48" s="28">
        <f>'FY21 Final Initial $$'!CQ48/'FY21 FTE'!CQ$120</f>
        <v>0</v>
      </c>
      <c r="CR48" s="20">
        <v>0</v>
      </c>
      <c r="CS48" s="20">
        <v>5220</v>
      </c>
      <c r="CT48" s="20">
        <v>0</v>
      </c>
      <c r="CU48" s="20">
        <v>28060.279569892475</v>
      </c>
      <c r="CV48" s="28">
        <f>'FY21 Final Initial $$'!CV48/'FY21 FTE'!CV$120</f>
        <v>0</v>
      </c>
      <c r="CW48" s="28">
        <f>'FY21 Final Initial $$'!CW48/'FY21 FTE'!CW$120</f>
        <v>0</v>
      </c>
      <c r="CX48" s="20">
        <v>0</v>
      </c>
      <c r="CY48" s="28">
        <f>'FY21 Final Initial $$'!CY48/'FY21 FTE'!CY$120</f>
        <v>0</v>
      </c>
      <c r="CZ48" s="20">
        <v>0</v>
      </c>
      <c r="DA48" s="20">
        <v>0</v>
      </c>
      <c r="DB48" s="20">
        <v>35500</v>
      </c>
      <c r="DC48" s="20">
        <v>83824.355707945884</v>
      </c>
      <c r="DD48" s="20">
        <v>0</v>
      </c>
      <c r="DE48" s="20">
        <v>0</v>
      </c>
      <c r="DF48" s="20">
        <v>0</v>
      </c>
      <c r="DG48" s="20">
        <v>0</v>
      </c>
      <c r="DH48" s="28">
        <f>'FY21 Final Initial $$'!DH48/'FY21 FTE'!DH$120</f>
        <v>0</v>
      </c>
      <c r="DI48" s="20"/>
      <c r="DJ48" s="20">
        <v>53250.002525746822</v>
      </c>
      <c r="DK48" s="22">
        <v>0</v>
      </c>
      <c r="DL48" s="20">
        <v>0</v>
      </c>
      <c r="DM48" s="20">
        <v>0</v>
      </c>
      <c r="DN48" s="20">
        <v>5830379.2487940136</v>
      </c>
      <c r="DO48" s="29">
        <f t="shared" si="1"/>
        <v>0</v>
      </c>
      <c r="DP48" s="29">
        <f t="shared" si="1"/>
        <v>0</v>
      </c>
      <c r="DQ48" s="29">
        <f t="shared" si="2"/>
        <v>16.100000000000001</v>
      </c>
      <c r="DR48" s="29">
        <f t="shared" si="3"/>
        <v>12.136363636363637</v>
      </c>
      <c r="DS48" s="29">
        <f t="shared" si="4"/>
        <v>2</v>
      </c>
    </row>
    <row r="49" spans="1:123" x14ac:dyDescent="0.25">
      <c r="A49" s="18">
        <v>421</v>
      </c>
      <c r="B49" t="s">
        <v>189</v>
      </c>
      <c r="C49" t="s">
        <v>152</v>
      </c>
      <c r="D49">
        <v>7</v>
      </c>
      <c r="E49">
        <v>567</v>
      </c>
      <c r="F49" s="19">
        <f t="shared" si="0"/>
        <v>0.67019400352733682</v>
      </c>
      <c r="G49">
        <v>380</v>
      </c>
      <c r="H49" s="28">
        <f>'FY21 Final Initial $$'!H49/'FY21 FTE'!H$120</f>
        <v>1</v>
      </c>
      <c r="I49" s="28">
        <f>'FY21 Final Initial $$'!I49/'FY21 FTE'!I$120</f>
        <v>1</v>
      </c>
      <c r="J49" s="28">
        <f>'FY21 Final Initial $$'!J49/'FY21 FTE'!J$120</f>
        <v>1.9</v>
      </c>
      <c r="K49" s="28">
        <f>'FY21 Final Initial $$'!K49/'FY21 FTE'!K$120</f>
        <v>1.4000000000000001</v>
      </c>
      <c r="L49" s="28">
        <f>'FY21 Final Initial $$'!L49/'FY21 FTE'!L$120</f>
        <v>0</v>
      </c>
      <c r="M49" s="28">
        <f>'FY21 Final Initial $$'!M49/'FY21 FTE'!M$120</f>
        <v>1</v>
      </c>
      <c r="N49" s="28">
        <f>'FY21 Final Initial $$'!N49/'FY21 FTE'!N$120</f>
        <v>1</v>
      </c>
      <c r="O49" s="28">
        <f>'FY21 Final Initial $$'!O49/'FY21 FTE'!O$120</f>
        <v>1.4</v>
      </c>
      <c r="P49" s="28">
        <f>'FY21 Final Initial $$'!P49/'FY21 FTE'!P$120</f>
        <v>0</v>
      </c>
      <c r="Q49" s="28">
        <f>'FY21 Final Initial $$'!Q49/'FY21 FTE'!Q$120</f>
        <v>1.0000004487061702</v>
      </c>
      <c r="R49" s="28">
        <f>'FY21 Final Initial $$'!R49/'FY21 FTE'!R$120</f>
        <v>0</v>
      </c>
      <c r="S49" s="28">
        <f>'FY21 Final Initial $$'!S49/'FY21 FTE'!S$120</f>
        <v>1</v>
      </c>
      <c r="T49" s="28">
        <f>'FY21 Final Initial $$'!T49/'FY21 FTE'!T$120</f>
        <v>1</v>
      </c>
      <c r="U49" s="28">
        <f>'FY21 Final Initial $$'!U49/'FY21 FTE'!U$120</f>
        <v>4</v>
      </c>
      <c r="V49" s="28">
        <f>'FY21 Final Initial $$'!V49/'FY21 FTE'!V$120</f>
        <v>1</v>
      </c>
      <c r="W49" s="28">
        <f>'FY21 Final Initial $$'!W49/'FY21 FTE'!W$120</f>
        <v>0</v>
      </c>
      <c r="X49" s="28">
        <f>'FY21 Final Initial $$'!X49/'FY21 FTE'!X$120</f>
        <v>0</v>
      </c>
      <c r="Y49" s="28">
        <f>'FY21 Final Initial $$'!Y49/'FY21 FTE'!Y$120</f>
        <v>0</v>
      </c>
      <c r="Z49" s="28">
        <f>'FY21 Final Initial $$'!Z49/'FY21 FTE'!Z$120</f>
        <v>0</v>
      </c>
      <c r="AA49" s="28">
        <f>'FY21 Final Initial $$'!AA49/'FY21 FTE'!AA$120</f>
        <v>0</v>
      </c>
      <c r="AB49" s="28">
        <f>'FY21 Final Initial $$'!AB49/'FY21 FTE'!AB$120</f>
        <v>0</v>
      </c>
      <c r="AC49" s="28">
        <f>'FY21 Final Initial $$'!AC49/'FY21 FTE'!AC$120</f>
        <v>0</v>
      </c>
      <c r="AD49" s="28">
        <f>'FY21 Final Initial $$'!AD49/'FY21 FTE'!AD$120</f>
        <v>0</v>
      </c>
      <c r="AE49" s="28">
        <f>'FY21 Final Initial $$'!AE49/'FY21 FTE'!AE$120</f>
        <v>0</v>
      </c>
      <c r="AF49" s="28">
        <f>'FY21 Final Initial $$'!AF49/'FY21 FTE'!AF$120</f>
        <v>0</v>
      </c>
      <c r="AG49" s="28">
        <f>'FY21 Final Initial $$'!AG49/'FY21 FTE'!AG$120</f>
        <v>0</v>
      </c>
      <c r="AH49" s="28">
        <f>'FY21 Final Initial $$'!AH49/'FY21 FTE'!AH$120</f>
        <v>0</v>
      </c>
      <c r="AI49" s="28">
        <f>'FY21 Final Initial $$'!AI49/'FY21 FTE'!AI$120</f>
        <v>0</v>
      </c>
      <c r="AJ49" s="28">
        <f>'FY21 Final Initial $$'!AJ49/'FY21 FTE'!AJ$120</f>
        <v>0</v>
      </c>
      <c r="AK49" s="28">
        <f>'FY21 Final Initial $$'!AK49/'FY21 FTE'!AK$120</f>
        <v>0</v>
      </c>
      <c r="AL49" s="28">
        <f>'FY21 Final Initial $$'!AL49/'FY21 FTE'!AL$120</f>
        <v>0</v>
      </c>
      <c r="AM49" s="28">
        <f>'FY21 Final Initial $$'!AM49/'FY21 FTE'!AM$120</f>
        <v>0</v>
      </c>
      <c r="AN49" s="28">
        <f>'FY21 Final Initial $$'!AN49/'FY21 FTE'!AN$120</f>
        <v>0</v>
      </c>
      <c r="AO49" s="28">
        <f>'FY21 Final Initial $$'!AO49/'FY21 FTE'!AO$120</f>
        <v>7.4</v>
      </c>
      <c r="AP49" s="28">
        <f>'FY21 Final Initial $$'!AP49/'FY21 FTE'!AP$120</f>
        <v>8.6</v>
      </c>
      <c r="AQ49" s="28">
        <f>'FY21 Final Initial $$'!AQ49/'FY21 FTE'!AQ$120</f>
        <v>9.8000000000000007</v>
      </c>
      <c r="AR49" s="28">
        <f>'FY21 Final Initial $$'!AR49/'FY21 FTE'!AR$120</f>
        <v>0</v>
      </c>
      <c r="AS49" s="28">
        <f>'FY21 Final Initial $$'!AS49/'FY21 FTE'!AS$120</f>
        <v>0</v>
      </c>
      <c r="AT49" s="28">
        <f>'FY21 Final Initial $$'!AT49/'FY21 FTE'!AT$120</f>
        <v>0</v>
      </c>
      <c r="AU49" s="28">
        <f>'FY21 Final Initial $$'!AU49/'FY21 FTE'!AU$120</f>
        <v>0</v>
      </c>
      <c r="AV49" s="28">
        <f>'FY21 Final Initial $$'!AV49/'FY21 FTE'!AV$120</f>
        <v>0</v>
      </c>
      <c r="AW49" s="28">
        <f>'FY21 Final Initial $$'!AW49/'FY21 FTE'!AW$120</f>
        <v>0</v>
      </c>
      <c r="AX49" s="28">
        <f>'FY21 Final Initial $$'!AX49/'FY21 FTE'!AX$120</f>
        <v>0</v>
      </c>
      <c r="AY49" s="28">
        <f>'FY21 Final Initial $$'!AY49/'FY21 FTE'!AY$120</f>
        <v>1</v>
      </c>
      <c r="AZ49" s="28">
        <f>'FY21 Final Initial $$'!AZ49/'FY21 FTE'!AZ$120</f>
        <v>3</v>
      </c>
      <c r="BA49" s="28">
        <f>'FY21 Final Initial $$'!BA49/'FY21 FTE'!BA$120</f>
        <v>11</v>
      </c>
      <c r="BB49" s="28">
        <f>'FY21 Final Initial $$'!BB49/'FY21 FTE'!BB$120</f>
        <v>4</v>
      </c>
      <c r="BC49" s="28">
        <f>'FY21 Final Initial $$'!BC49/'FY21 FTE'!BC$120</f>
        <v>1</v>
      </c>
      <c r="BD49" s="28">
        <f>'FY21 Final Initial $$'!BD49/'FY21 FTE'!BD$120</f>
        <v>0</v>
      </c>
      <c r="BE49" s="28">
        <f>'FY21 Final Initial $$'!BE49/'FY21 FTE'!BE$120</f>
        <v>1</v>
      </c>
      <c r="BF49" s="28">
        <f>'FY21 Final Initial $$'!BF49/'FY21 FTE'!BF$120</f>
        <v>0</v>
      </c>
      <c r="BG49" s="28">
        <f>'FY21 Final Initial $$'!BG49/'FY21 FTE'!BG$120</f>
        <v>0</v>
      </c>
      <c r="BH49" s="28">
        <f>'FY21 Final Initial $$'!BH49/'FY21 FTE'!BH$120</f>
        <v>0</v>
      </c>
      <c r="BI49" s="28">
        <f>'FY21 Final Initial $$'!BI49/'FY21 FTE'!BI$120</f>
        <v>0</v>
      </c>
      <c r="BJ49" s="28">
        <f>'FY21 Final Initial $$'!BJ49/'FY21 FTE'!BJ$120</f>
        <v>0</v>
      </c>
      <c r="BK49" s="20">
        <v>0</v>
      </c>
      <c r="BL49" s="20"/>
      <c r="BM49" s="20"/>
      <c r="BN49" s="20">
        <v>229282.07</v>
      </c>
      <c r="BO49" s="20">
        <v>3793.22</v>
      </c>
      <c r="BP49" s="20">
        <v>0</v>
      </c>
      <c r="BQ49" s="28">
        <f>'FY21 Final Initial $$'!BQ49/'FY21 FTE'!BQ$120</f>
        <v>0</v>
      </c>
      <c r="BR49" s="28">
        <f>'FY21 Final Initial $$'!BR49/'FY21 FTE'!BR$120</f>
        <v>1</v>
      </c>
      <c r="BS49" s="28">
        <f>'FY21 Final Initial $$'!BS49/'FY21 FTE'!BS$120</f>
        <v>1</v>
      </c>
      <c r="BT49" s="28">
        <f>'FY21 Final Initial $$'!BT49/'FY21 FTE'!BT$120</f>
        <v>0</v>
      </c>
      <c r="BU49" s="28">
        <f>'FY21 Final Initial $$'!BU49/'FY21 FTE'!BU$120</f>
        <v>0</v>
      </c>
      <c r="BV49" s="28">
        <f>'FY21 Final Initial $$'!BV49/'FY21 FTE'!BV$120</f>
        <v>0</v>
      </c>
      <c r="BW49" s="28">
        <f>'FY21 Final Initial $$'!BW49/'FY21 FTE'!BW$120</f>
        <v>0</v>
      </c>
      <c r="BX49" s="20">
        <v>0</v>
      </c>
      <c r="BY49" s="20">
        <v>0</v>
      </c>
      <c r="BZ49" s="20">
        <v>0</v>
      </c>
      <c r="CA49" s="20">
        <v>0</v>
      </c>
      <c r="CB49" s="28">
        <f>'FY21 Final Initial $$'!CB49/'FY21 FTE'!CB$120</f>
        <v>0</v>
      </c>
      <c r="CC49" s="28">
        <f>'FY21 Final Initial $$'!CC49/'FY21 FTE'!CC$120</f>
        <v>0</v>
      </c>
      <c r="CD49" s="20">
        <v>0</v>
      </c>
      <c r="CE49" s="28">
        <f>'FY21 Final Initial $$'!CE49/'FY21 FTE'!CE$120</f>
        <v>0</v>
      </c>
      <c r="CF49" s="28">
        <f>'FY21 Final Initial $$'!CF49/'FY21 FTE'!CF$120</f>
        <v>0</v>
      </c>
      <c r="CG49" s="28">
        <f>'FY21 Final Initial $$'!CG49/'FY21 FTE'!CG$120</f>
        <v>0</v>
      </c>
      <c r="CH49" s="28">
        <f>'FY21 Final Initial $$'!CH49/'FY21 FTE'!CH$120</f>
        <v>0</v>
      </c>
      <c r="CI49" s="28">
        <f>'FY21 Final Initial $$'!CI49/'FY21 FTE'!CI$120</f>
        <v>0</v>
      </c>
      <c r="CJ49" s="28">
        <f>'FY21 Final Initial $$'!CJ49/'FY21 FTE'!CJ$120</f>
        <v>0</v>
      </c>
      <c r="CK49" s="28">
        <f>'FY21 Final Initial $$'!CK49/'FY21 FTE'!CK$120</f>
        <v>3</v>
      </c>
      <c r="CL49" s="28">
        <f>'FY21 Final Initial $$'!CL49/'FY21 FTE'!CL$120</f>
        <v>0</v>
      </c>
      <c r="CM49" s="20">
        <v>23000</v>
      </c>
      <c r="CN49" s="20">
        <v>5000</v>
      </c>
      <c r="CO49" s="20">
        <v>367238.58</v>
      </c>
      <c r="CP49" s="20">
        <v>100000</v>
      </c>
      <c r="CQ49" s="28">
        <f>'FY21 Final Initial $$'!CQ49/'FY21 FTE'!CQ$120</f>
        <v>0</v>
      </c>
      <c r="CR49" s="20">
        <v>0</v>
      </c>
      <c r="CS49" s="20">
        <v>7600</v>
      </c>
      <c r="CT49" s="20">
        <v>0</v>
      </c>
      <c r="CU49" s="20">
        <v>41401.025000000001</v>
      </c>
      <c r="CV49" s="28">
        <f>'FY21 Final Initial $$'!CV49/'FY21 FTE'!CV$120</f>
        <v>0</v>
      </c>
      <c r="CW49" s="28">
        <f>'FY21 Final Initial $$'!CW49/'FY21 FTE'!CW$120</f>
        <v>0</v>
      </c>
      <c r="CX49" s="20">
        <v>0</v>
      </c>
      <c r="CY49" s="28">
        <f>'FY21 Final Initial $$'!CY49/'FY21 FTE'!CY$120</f>
        <v>0</v>
      </c>
      <c r="CZ49" s="20">
        <v>0</v>
      </c>
      <c r="DA49" s="20">
        <v>0</v>
      </c>
      <c r="DB49" s="20">
        <v>56700</v>
      </c>
      <c r="DC49" s="20">
        <v>112564.00993418127</v>
      </c>
      <c r="DD49" s="20">
        <v>0</v>
      </c>
      <c r="DE49" s="20">
        <v>0</v>
      </c>
      <c r="DF49" s="20">
        <v>0</v>
      </c>
      <c r="DG49" s="20">
        <v>0</v>
      </c>
      <c r="DH49" s="28">
        <f>'FY21 Final Initial $$'!DH49/'FY21 FTE'!DH$120</f>
        <v>0</v>
      </c>
      <c r="DI49" s="20"/>
      <c r="DJ49" s="20">
        <v>94499.99512732029</v>
      </c>
      <c r="DK49" s="22">
        <v>0</v>
      </c>
      <c r="DL49" s="20">
        <v>0</v>
      </c>
      <c r="DM49" s="20">
        <v>0</v>
      </c>
      <c r="DN49" s="20">
        <v>7932632.3121224511</v>
      </c>
      <c r="DO49" s="29">
        <f t="shared" si="1"/>
        <v>0</v>
      </c>
      <c r="DP49" s="29">
        <f t="shared" si="1"/>
        <v>0</v>
      </c>
      <c r="DQ49" s="29">
        <f t="shared" si="2"/>
        <v>25.8</v>
      </c>
      <c r="DR49" s="29">
        <f t="shared" si="3"/>
        <v>16</v>
      </c>
      <c r="DS49" s="29">
        <f t="shared" si="4"/>
        <v>4</v>
      </c>
    </row>
    <row r="50" spans="1:123" x14ac:dyDescent="0.25">
      <c r="A50" s="18">
        <v>257</v>
      </c>
      <c r="B50" t="s">
        <v>190</v>
      </c>
      <c r="C50" t="s">
        <v>135</v>
      </c>
      <c r="D50">
        <v>8</v>
      </c>
      <c r="E50">
        <v>350</v>
      </c>
      <c r="F50" s="19">
        <f t="shared" si="0"/>
        <v>0.76857142857142857</v>
      </c>
      <c r="G50">
        <v>269</v>
      </c>
      <c r="H50" s="28">
        <f>'FY21 Final Initial $$'!H50/'FY21 FTE'!H$120</f>
        <v>1</v>
      </c>
      <c r="I50" s="28">
        <f>'FY21 Final Initial $$'!I50/'FY21 FTE'!I$120</f>
        <v>1</v>
      </c>
      <c r="J50" s="28">
        <f>'FY21 Final Initial $$'!J50/'FY21 FTE'!J$120</f>
        <v>0.89999999999999991</v>
      </c>
      <c r="K50" s="28">
        <f>'FY21 Final Initial $$'!K50/'FY21 FTE'!K$120</f>
        <v>0</v>
      </c>
      <c r="L50" s="28">
        <f>'FY21 Final Initial $$'!L50/'FY21 FTE'!L$120</f>
        <v>0</v>
      </c>
      <c r="M50" s="28">
        <f>'FY21 Final Initial $$'!M50/'FY21 FTE'!M$120</f>
        <v>1</v>
      </c>
      <c r="N50" s="28">
        <f>'FY21 Final Initial $$'!N50/'FY21 FTE'!N$120</f>
        <v>1</v>
      </c>
      <c r="O50" s="28">
        <f>'FY21 Final Initial $$'!O50/'FY21 FTE'!O$120</f>
        <v>0</v>
      </c>
      <c r="P50" s="28">
        <f>'FY21 Final Initial $$'!P50/'FY21 FTE'!P$120</f>
        <v>0</v>
      </c>
      <c r="Q50" s="28">
        <f>'FY21 Final Initial $$'!Q50/'FY21 FTE'!Q$120</f>
        <v>0</v>
      </c>
      <c r="R50" s="28">
        <f>'FY21 Final Initial $$'!R50/'FY21 FTE'!R$120</f>
        <v>0</v>
      </c>
      <c r="S50" s="28">
        <f>'FY21 Final Initial $$'!S50/'FY21 FTE'!S$120</f>
        <v>1</v>
      </c>
      <c r="T50" s="28">
        <f>'FY21 Final Initial $$'!T50/'FY21 FTE'!T$120</f>
        <v>1</v>
      </c>
      <c r="U50" s="28">
        <f>'FY21 Final Initial $$'!U50/'FY21 FTE'!U$120</f>
        <v>2</v>
      </c>
      <c r="V50" s="28">
        <f>'FY21 Final Initial $$'!V50/'FY21 FTE'!V$120</f>
        <v>1</v>
      </c>
      <c r="W50" s="28">
        <f>'FY21 Final Initial $$'!W50/'FY21 FTE'!W$120</f>
        <v>1</v>
      </c>
      <c r="X50" s="28">
        <f>'FY21 Final Initial $$'!X50/'FY21 FTE'!X$120</f>
        <v>1</v>
      </c>
      <c r="Y50" s="28">
        <f>'FY21 Final Initial $$'!Y50/'FY21 FTE'!Y$120</f>
        <v>1</v>
      </c>
      <c r="Z50" s="28">
        <f>'FY21 Final Initial $$'!Z50/'FY21 FTE'!Z$120</f>
        <v>0</v>
      </c>
      <c r="AA50" s="28">
        <f>'FY21 Final Initial $$'!AA50/'FY21 FTE'!AA$120</f>
        <v>1.5</v>
      </c>
      <c r="AB50" s="28">
        <f>'FY21 Final Initial $$'!AB50/'FY21 FTE'!AB$120</f>
        <v>2</v>
      </c>
      <c r="AC50" s="28">
        <f>'FY21 Final Initial $$'!AC50/'FY21 FTE'!AC$120</f>
        <v>2</v>
      </c>
      <c r="AD50" s="28">
        <f>'FY21 Final Initial $$'!AD50/'FY21 FTE'!AD$120</f>
        <v>1</v>
      </c>
      <c r="AE50" s="28">
        <f>'FY21 Final Initial $$'!AE50/'FY21 FTE'!AE$120</f>
        <v>1</v>
      </c>
      <c r="AF50" s="28">
        <f>'FY21 Final Initial $$'!AF50/'FY21 FTE'!AF$120</f>
        <v>2</v>
      </c>
      <c r="AG50" s="28">
        <f>'FY21 Final Initial $$'!AG50/'FY21 FTE'!AG$120</f>
        <v>2</v>
      </c>
      <c r="AH50" s="28">
        <f>'FY21 Final Initial $$'!AH50/'FY21 FTE'!AH$120</f>
        <v>3</v>
      </c>
      <c r="AI50" s="28">
        <f>'FY21 Final Initial $$'!AI50/'FY21 FTE'!AI$120</f>
        <v>3</v>
      </c>
      <c r="AJ50" s="28">
        <f>'FY21 Final Initial $$'!AJ50/'FY21 FTE'!AJ$120</f>
        <v>2</v>
      </c>
      <c r="AK50" s="28">
        <f>'FY21 Final Initial $$'!AK50/'FY21 FTE'!AK$120</f>
        <v>2</v>
      </c>
      <c r="AL50" s="28">
        <f>'FY21 Final Initial $$'!AL50/'FY21 FTE'!AL$120</f>
        <v>2</v>
      </c>
      <c r="AM50" s="28">
        <f>'FY21 Final Initial $$'!AM50/'FY21 FTE'!AM$120</f>
        <v>2</v>
      </c>
      <c r="AN50" s="28">
        <f>'FY21 Final Initial $$'!AN50/'FY21 FTE'!AN$120</f>
        <v>2.0000000000000027</v>
      </c>
      <c r="AO50" s="28">
        <f>'FY21 Final Initial $$'!AO50/'FY21 FTE'!AO$120</f>
        <v>0</v>
      </c>
      <c r="AP50" s="28">
        <f>'FY21 Final Initial $$'!AP50/'FY21 FTE'!AP$120</f>
        <v>0</v>
      </c>
      <c r="AQ50" s="28">
        <f>'FY21 Final Initial $$'!AQ50/'FY21 FTE'!AQ$120</f>
        <v>0</v>
      </c>
      <c r="AR50" s="28">
        <f>'FY21 Final Initial $$'!AR50/'FY21 FTE'!AR$120</f>
        <v>0</v>
      </c>
      <c r="AS50" s="28">
        <f>'FY21 Final Initial $$'!AS50/'FY21 FTE'!AS$120</f>
        <v>0</v>
      </c>
      <c r="AT50" s="28">
        <f>'FY21 Final Initial $$'!AT50/'FY21 FTE'!AT$120</f>
        <v>0</v>
      </c>
      <c r="AU50" s="28">
        <f>'FY21 Final Initial $$'!AU50/'FY21 FTE'!AU$120</f>
        <v>0</v>
      </c>
      <c r="AV50" s="28">
        <f>'FY21 Final Initial $$'!AV50/'FY21 FTE'!AV$120</f>
        <v>0</v>
      </c>
      <c r="AW50" s="28">
        <f>'FY21 Final Initial $$'!AW50/'FY21 FTE'!AW$120</f>
        <v>0</v>
      </c>
      <c r="AX50" s="28">
        <f>'FY21 Final Initial $$'!AX50/'FY21 FTE'!AX$120</f>
        <v>0</v>
      </c>
      <c r="AY50" s="28">
        <f>'FY21 Final Initial $$'!AY50/'FY21 FTE'!AY$120</f>
        <v>1</v>
      </c>
      <c r="AZ50" s="28">
        <f>'FY21 Final Initial $$'!AZ50/'FY21 FTE'!AZ$120</f>
        <v>1</v>
      </c>
      <c r="BA50" s="28">
        <f>'FY21 Final Initial $$'!BA50/'FY21 FTE'!BA$120</f>
        <v>4</v>
      </c>
      <c r="BB50" s="28">
        <f>'FY21 Final Initial $$'!BB50/'FY21 FTE'!BB$120</f>
        <v>0</v>
      </c>
      <c r="BC50" s="28">
        <f>'FY21 Final Initial $$'!BC50/'FY21 FTE'!BC$120</f>
        <v>0</v>
      </c>
      <c r="BD50" s="28">
        <f>'FY21 Final Initial $$'!BD50/'FY21 FTE'!BD$120</f>
        <v>0</v>
      </c>
      <c r="BE50" s="28">
        <f>'FY21 Final Initial $$'!BE50/'FY21 FTE'!BE$120</f>
        <v>1</v>
      </c>
      <c r="BF50" s="28">
        <f>'FY21 Final Initial $$'!BF50/'FY21 FTE'!BF$120</f>
        <v>0</v>
      </c>
      <c r="BG50" s="28">
        <f>'FY21 Final Initial $$'!BG50/'FY21 FTE'!BG$120</f>
        <v>0</v>
      </c>
      <c r="BH50" s="28">
        <f>'FY21 Final Initial $$'!BH50/'FY21 FTE'!BH$120</f>
        <v>3</v>
      </c>
      <c r="BI50" s="28">
        <f>'FY21 Final Initial $$'!BI50/'FY21 FTE'!BI$120</f>
        <v>3</v>
      </c>
      <c r="BJ50" s="28">
        <f>'FY21 Final Initial $$'!BJ50/'FY21 FTE'!BJ$120</f>
        <v>1</v>
      </c>
      <c r="BK50" s="20">
        <v>0</v>
      </c>
      <c r="BL50" s="20"/>
      <c r="BM50" s="20"/>
      <c r="BN50" s="20">
        <v>138933</v>
      </c>
      <c r="BO50" s="20">
        <v>2298.4899999999998</v>
      </c>
      <c r="BP50" s="20">
        <v>0</v>
      </c>
      <c r="BQ50" s="28">
        <f>'FY21 Final Initial $$'!BQ50/'FY21 FTE'!BQ$120</f>
        <v>0</v>
      </c>
      <c r="BR50" s="28">
        <f>'FY21 Final Initial $$'!BR50/'FY21 FTE'!BR$120</f>
        <v>0</v>
      </c>
      <c r="BS50" s="28">
        <f>'FY21 Final Initial $$'!BS50/'FY21 FTE'!BS$120</f>
        <v>0</v>
      </c>
      <c r="BT50" s="28">
        <f>'FY21 Final Initial $$'!BT50/'FY21 FTE'!BT$120</f>
        <v>0</v>
      </c>
      <c r="BU50" s="28">
        <f>'FY21 Final Initial $$'!BU50/'FY21 FTE'!BU$120</f>
        <v>0</v>
      </c>
      <c r="BV50" s="28">
        <f>'FY21 Final Initial $$'!BV50/'FY21 FTE'!BV$120</f>
        <v>0</v>
      </c>
      <c r="BW50" s="28">
        <f>'FY21 Final Initial $$'!BW50/'FY21 FTE'!BW$120</f>
        <v>0</v>
      </c>
      <c r="BX50" s="20">
        <v>0</v>
      </c>
      <c r="BY50" s="20">
        <v>0</v>
      </c>
      <c r="BZ50" s="20">
        <v>0</v>
      </c>
      <c r="CA50" s="20">
        <v>0</v>
      </c>
      <c r="CB50" s="28">
        <f>'FY21 Final Initial $$'!CB50/'FY21 FTE'!CB$120</f>
        <v>0</v>
      </c>
      <c r="CC50" s="28">
        <f>'FY21 Final Initial $$'!CC50/'FY21 FTE'!CC$120</f>
        <v>0</v>
      </c>
      <c r="CD50" s="20">
        <v>0</v>
      </c>
      <c r="CE50" s="28">
        <f>'FY21 Final Initial $$'!CE50/'FY21 FTE'!CE$120</f>
        <v>0</v>
      </c>
      <c r="CF50" s="28">
        <f>'FY21 Final Initial $$'!CF50/'FY21 FTE'!CF$120</f>
        <v>0</v>
      </c>
      <c r="CG50" s="28">
        <f>'FY21 Final Initial $$'!CG50/'FY21 FTE'!CG$120</f>
        <v>0</v>
      </c>
      <c r="CH50" s="28">
        <f>'FY21 Final Initial $$'!CH50/'FY21 FTE'!CH$120</f>
        <v>0</v>
      </c>
      <c r="CI50" s="28">
        <f>'FY21 Final Initial $$'!CI50/'FY21 FTE'!CI$120</f>
        <v>0</v>
      </c>
      <c r="CJ50" s="28">
        <f>'FY21 Final Initial $$'!CJ50/'FY21 FTE'!CJ$120</f>
        <v>0</v>
      </c>
      <c r="CK50" s="28">
        <f>'FY21 Final Initial $$'!CK50/'FY21 FTE'!CK$120</f>
        <v>0</v>
      </c>
      <c r="CL50" s="28">
        <f>'FY21 Final Initial $$'!CL50/'FY21 FTE'!CL$120</f>
        <v>0</v>
      </c>
      <c r="CM50" s="20">
        <v>0</v>
      </c>
      <c r="CN50" s="20">
        <v>0</v>
      </c>
      <c r="CO50" s="20">
        <v>55921.759999999995</v>
      </c>
      <c r="CP50" s="20">
        <v>0</v>
      </c>
      <c r="CQ50" s="28">
        <f>'FY21 Final Initial $$'!CQ50/'FY21 FTE'!CQ$120</f>
        <v>0</v>
      </c>
      <c r="CR50" s="20">
        <v>0</v>
      </c>
      <c r="CS50" s="20">
        <v>10760</v>
      </c>
      <c r="CT50" s="20">
        <v>0</v>
      </c>
      <c r="CU50" s="20">
        <v>21735.615384615383</v>
      </c>
      <c r="CV50" s="28">
        <f>'FY21 Final Initial $$'!CV50/'FY21 FTE'!CV$120</f>
        <v>0</v>
      </c>
      <c r="CW50" s="28">
        <f>'FY21 Final Initial $$'!CW50/'FY21 FTE'!CW$120</f>
        <v>0</v>
      </c>
      <c r="CX50" s="20">
        <v>0</v>
      </c>
      <c r="CY50" s="28">
        <f>'FY21 Final Initial $$'!CY50/'FY21 FTE'!CY$120</f>
        <v>0</v>
      </c>
      <c r="CZ50" s="20">
        <v>0</v>
      </c>
      <c r="DA50" s="20">
        <v>0</v>
      </c>
      <c r="DB50" s="20">
        <v>35000</v>
      </c>
      <c r="DC50" s="20">
        <v>72065.930944253545</v>
      </c>
      <c r="DD50" s="20">
        <v>0</v>
      </c>
      <c r="DE50" s="20">
        <v>0</v>
      </c>
      <c r="DF50" s="20">
        <v>13859</v>
      </c>
      <c r="DG50" s="20">
        <v>0</v>
      </c>
      <c r="DH50" s="28">
        <f>'FY21 Final Initial $$'!DH50/'FY21 FTE'!DH$120</f>
        <v>0</v>
      </c>
      <c r="DI50" s="20"/>
      <c r="DJ50" s="20">
        <v>14574.999954923987</v>
      </c>
      <c r="DK50" s="22">
        <v>0</v>
      </c>
      <c r="DL50" s="20">
        <v>0</v>
      </c>
      <c r="DM50" s="20">
        <v>0</v>
      </c>
      <c r="DN50" s="20">
        <v>4909313.5754299769</v>
      </c>
      <c r="DO50" s="29">
        <f t="shared" si="1"/>
        <v>8</v>
      </c>
      <c r="DP50" s="29">
        <f t="shared" si="1"/>
        <v>8</v>
      </c>
      <c r="DQ50" s="29">
        <f t="shared" si="2"/>
        <v>10.000000000000004</v>
      </c>
      <c r="DR50" s="29">
        <f t="shared" si="3"/>
        <v>7</v>
      </c>
      <c r="DS50" s="29">
        <f t="shared" si="4"/>
        <v>0</v>
      </c>
    </row>
    <row r="51" spans="1:123" x14ac:dyDescent="0.25">
      <c r="A51" s="18">
        <v>272</v>
      </c>
      <c r="B51" t="s">
        <v>191</v>
      </c>
      <c r="C51" t="s">
        <v>135</v>
      </c>
      <c r="D51">
        <v>3</v>
      </c>
      <c r="E51">
        <v>372</v>
      </c>
      <c r="F51" s="19">
        <f t="shared" si="0"/>
        <v>1.0752688172043012E-2</v>
      </c>
      <c r="G51">
        <v>4</v>
      </c>
      <c r="H51" s="28">
        <f>'FY21 Final Initial $$'!H51/'FY21 FTE'!H$120</f>
        <v>1</v>
      </c>
      <c r="I51" s="28">
        <f>'FY21 Final Initial $$'!I51/'FY21 FTE'!I$120</f>
        <v>1</v>
      </c>
      <c r="J51" s="28">
        <f>'FY21 Final Initial $$'!J51/'FY21 FTE'!J$120</f>
        <v>0.89999999999999991</v>
      </c>
      <c r="K51" s="28">
        <f>'FY21 Final Initial $$'!K51/'FY21 FTE'!K$120</f>
        <v>0</v>
      </c>
      <c r="L51" s="28">
        <f>'FY21 Final Initial $$'!L51/'FY21 FTE'!L$120</f>
        <v>0</v>
      </c>
      <c r="M51" s="28">
        <f>'FY21 Final Initial $$'!M51/'FY21 FTE'!M$120</f>
        <v>1</v>
      </c>
      <c r="N51" s="28">
        <f>'FY21 Final Initial $$'!N51/'FY21 FTE'!N$120</f>
        <v>1</v>
      </c>
      <c r="O51" s="28">
        <f>'FY21 Final Initial $$'!O51/'FY21 FTE'!O$120</f>
        <v>0</v>
      </c>
      <c r="P51" s="28">
        <f>'FY21 Final Initial $$'!P51/'FY21 FTE'!P$120</f>
        <v>0</v>
      </c>
      <c r="Q51" s="28">
        <f>'FY21 Final Initial $$'!Q51/'FY21 FTE'!Q$120</f>
        <v>0</v>
      </c>
      <c r="R51" s="28">
        <f>'FY21 Final Initial $$'!R51/'FY21 FTE'!R$120</f>
        <v>0</v>
      </c>
      <c r="S51" s="28">
        <f>'FY21 Final Initial $$'!S51/'FY21 FTE'!S$120</f>
        <v>1</v>
      </c>
      <c r="T51" s="28">
        <f>'FY21 Final Initial $$'!T51/'FY21 FTE'!T$120</f>
        <v>1</v>
      </c>
      <c r="U51" s="28">
        <f>'FY21 Final Initial $$'!U51/'FY21 FTE'!U$120</f>
        <v>2</v>
      </c>
      <c r="V51" s="28">
        <f>'FY21 Final Initial $$'!V51/'FY21 FTE'!V$120</f>
        <v>1</v>
      </c>
      <c r="W51" s="28">
        <f>'FY21 Final Initial $$'!W51/'FY21 FTE'!W$120</f>
        <v>1</v>
      </c>
      <c r="X51" s="28">
        <f>'FY21 Final Initial $$'!X51/'FY21 FTE'!X$120</f>
        <v>1</v>
      </c>
      <c r="Y51" s="28">
        <f>'FY21 Final Initial $$'!Y51/'FY21 FTE'!Y$120</f>
        <v>1</v>
      </c>
      <c r="Z51" s="28">
        <f>'FY21 Final Initial $$'!Z51/'FY21 FTE'!Z$120</f>
        <v>0</v>
      </c>
      <c r="AA51" s="28">
        <f>'FY21 Final Initial $$'!AA51/'FY21 FTE'!AA$120</f>
        <v>0</v>
      </c>
      <c r="AB51" s="28">
        <f>'FY21 Final Initial $$'!AB51/'FY21 FTE'!AB$120</f>
        <v>0</v>
      </c>
      <c r="AC51" s="28">
        <f>'FY21 Final Initial $$'!AC51/'FY21 FTE'!AC$120</f>
        <v>0</v>
      </c>
      <c r="AD51" s="28">
        <f>'FY21 Final Initial $$'!AD51/'FY21 FTE'!AD$120</f>
        <v>0</v>
      </c>
      <c r="AE51" s="28">
        <f>'FY21 Final Initial $$'!AE51/'FY21 FTE'!AE$120</f>
        <v>0</v>
      </c>
      <c r="AF51" s="28">
        <f>'FY21 Final Initial $$'!AF51/'FY21 FTE'!AF$120</f>
        <v>2</v>
      </c>
      <c r="AG51" s="28">
        <f>'FY21 Final Initial $$'!AG51/'FY21 FTE'!AG$120</f>
        <v>2</v>
      </c>
      <c r="AH51" s="28">
        <f>'FY21 Final Initial $$'!AH51/'FY21 FTE'!AH$120</f>
        <v>3</v>
      </c>
      <c r="AI51" s="28">
        <f>'FY21 Final Initial $$'!AI51/'FY21 FTE'!AI$120</f>
        <v>3</v>
      </c>
      <c r="AJ51" s="28">
        <f>'FY21 Final Initial $$'!AJ51/'FY21 FTE'!AJ$120</f>
        <v>3</v>
      </c>
      <c r="AK51" s="28">
        <f>'FY21 Final Initial $$'!AK51/'FY21 FTE'!AK$120</f>
        <v>3</v>
      </c>
      <c r="AL51" s="28">
        <f>'FY21 Final Initial $$'!AL51/'FY21 FTE'!AL$120</f>
        <v>3</v>
      </c>
      <c r="AM51" s="28">
        <f>'FY21 Final Initial $$'!AM51/'FY21 FTE'!AM$120</f>
        <v>2</v>
      </c>
      <c r="AN51" s="28">
        <f>'FY21 Final Initial $$'!AN51/'FY21 FTE'!AN$120</f>
        <v>2.0000000000000027</v>
      </c>
      <c r="AO51" s="28">
        <f>'FY21 Final Initial $$'!AO51/'FY21 FTE'!AO$120</f>
        <v>0</v>
      </c>
      <c r="AP51" s="28">
        <f>'FY21 Final Initial $$'!AP51/'FY21 FTE'!AP$120</f>
        <v>0</v>
      </c>
      <c r="AQ51" s="28">
        <f>'FY21 Final Initial $$'!AQ51/'FY21 FTE'!AQ$120</f>
        <v>0</v>
      </c>
      <c r="AR51" s="28">
        <f>'FY21 Final Initial $$'!AR51/'FY21 FTE'!AR$120</f>
        <v>0</v>
      </c>
      <c r="AS51" s="28">
        <f>'FY21 Final Initial $$'!AS51/'FY21 FTE'!AS$120</f>
        <v>0</v>
      </c>
      <c r="AT51" s="28">
        <f>'FY21 Final Initial $$'!AT51/'FY21 FTE'!AT$120</f>
        <v>0</v>
      </c>
      <c r="AU51" s="28">
        <f>'FY21 Final Initial $$'!AU51/'FY21 FTE'!AU$120</f>
        <v>0</v>
      </c>
      <c r="AV51" s="28">
        <f>'FY21 Final Initial $$'!AV51/'FY21 FTE'!AV$120</f>
        <v>0</v>
      </c>
      <c r="AW51" s="28">
        <f>'FY21 Final Initial $$'!AW51/'FY21 FTE'!AW$120</f>
        <v>0</v>
      </c>
      <c r="AX51" s="28">
        <f>'FY21 Final Initial $$'!AX51/'FY21 FTE'!AX$120</f>
        <v>0</v>
      </c>
      <c r="AY51" s="28">
        <f>'FY21 Final Initial $$'!AY51/'FY21 FTE'!AY$120</f>
        <v>0.5</v>
      </c>
      <c r="AZ51" s="28">
        <f>'FY21 Final Initial $$'!AZ51/'FY21 FTE'!AZ$120</f>
        <v>1</v>
      </c>
      <c r="BA51" s="28">
        <f>'FY21 Final Initial $$'!BA51/'FY21 FTE'!BA$120</f>
        <v>3</v>
      </c>
      <c r="BB51" s="28">
        <f>'FY21 Final Initial $$'!BB51/'FY21 FTE'!BB$120</f>
        <v>0</v>
      </c>
      <c r="BC51" s="28">
        <f>'FY21 Final Initial $$'!BC51/'FY21 FTE'!BC$120</f>
        <v>0</v>
      </c>
      <c r="BD51" s="28">
        <f>'FY21 Final Initial $$'!BD51/'FY21 FTE'!BD$120</f>
        <v>0</v>
      </c>
      <c r="BE51" s="28">
        <f>'FY21 Final Initial $$'!BE51/'FY21 FTE'!BE$120</f>
        <v>1</v>
      </c>
      <c r="BF51" s="28">
        <f>'FY21 Final Initial $$'!BF51/'FY21 FTE'!BF$120</f>
        <v>0</v>
      </c>
      <c r="BG51" s="28">
        <f>'FY21 Final Initial $$'!BG51/'FY21 FTE'!BG$120</f>
        <v>0</v>
      </c>
      <c r="BH51" s="28">
        <f>'FY21 Final Initial $$'!BH51/'FY21 FTE'!BH$120</f>
        <v>0</v>
      </c>
      <c r="BI51" s="28">
        <f>'FY21 Final Initial $$'!BI51/'FY21 FTE'!BI$120</f>
        <v>0</v>
      </c>
      <c r="BJ51" s="28">
        <f>'FY21 Final Initial $$'!BJ51/'FY21 FTE'!BJ$120</f>
        <v>0</v>
      </c>
      <c r="BK51" s="20">
        <v>0</v>
      </c>
      <c r="BL51" s="20"/>
      <c r="BM51" s="20"/>
      <c r="BN51" s="20">
        <v>0</v>
      </c>
      <c r="BO51" s="20">
        <v>0</v>
      </c>
      <c r="BP51" s="20">
        <v>9550</v>
      </c>
      <c r="BQ51" s="28">
        <f>'FY21 Final Initial $$'!BQ51/'FY21 FTE'!BQ$120</f>
        <v>0</v>
      </c>
      <c r="BR51" s="28">
        <f>'FY21 Final Initial $$'!BR51/'FY21 FTE'!BR$120</f>
        <v>0</v>
      </c>
      <c r="BS51" s="28">
        <f>'FY21 Final Initial $$'!BS51/'FY21 FTE'!BS$120</f>
        <v>0</v>
      </c>
      <c r="BT51" s="28">
        <f>'FY21 Final Initial $$'!BT51/'FY21 FTE'!BT$120</f>
        <v>0</v>
      </c>
      <c r="BU51" s="28">
        <f>'FY21 Final Initial $$'!BU51/'FY21 FTE'!BU$120</f>
        <v>0</v>
      </c>
      <c r="BV51" s="28">
        <f>'FY21 Final Initial $$'!BV51/'FY21 FTE'!BV$120</f>
        <v>0</v>
      </c>
      <c r="BW51" s="28">
        <f>'FY21 Final Initial $$'!BW51/'FY21 FTE'!BW$120</f>
        <v>0</v>
      </c>
      <c r="BX51" s="20">
        <v>0</v>
      </c>
      <c r="BY51" s="20">
        <v>0</v>
      </c>
      <c r="BZ51" s="20">
        <v>0</v>
      </c>
      <c r="CA51" s="20">
        <v>0</v>
      </c>
      <c r="CB51" s="28">
        <f>'FY21 Final Initial $$'!CB51/'FY21 FTE'!CB$120</f>
        <v>0</v>
      </c>
      <c r="CC51" s="28">
        <f>'FY21 Final Initial $$'!CC51/'FY21 FTE'!CC$120</f>
        <v>0</v>
      </c>
      <c r="CD51" s="20">
        <v>0</v>
      </c>
      <c r="CE51" s="28">
        <f>'FY21 Final Initial $$'!CE51/'FY21 FTE'!CE$120</f>
        <v>0</v>
      </c>
      <c r="CF51" s="28">
        <f>'FY21 Final Initial $$'!CF51/'FY21 FTE'!CF$120</f>
        <v>0</v>
      </c>
      <c r="CG51" s="28">
        <f>'FY21 Final Initial $$'!CG51/'FY21 FTE'!CG$120</f>
        <v>0</v>
      </c>
      <c r="CH51" s="28">
        <f>'FY21 Final Initial $$'!CH51/'FY21 FTE'!CH$120</f>
        <v>0</v>
      </c>
      <c r="CI51" s="28">
        <f>'FY21 Final Initial $$'!CI51/'FY21 FTE'!CI$120</f>
        <v>0</v>
      </c>
      <c r="CJ51" s="28">
        <f>'FY21 Final Initial $$'!CJ51/'FY21 FTE'!CJ$120</f>
        <v>0</v>
      </c>
      <c r="CK51" s="28">
        <f>'FY21 Final Initial $$'!CK51/'FY21 FTE'!CK$120</f>
        <v>0</v>
      </c>
      <c r="CL51" s="28">
        <f>'FY21 Final Initial $$'!CL51/'FY21 FTE'!CL$120</f>
        <v>0</v>
      </c>
      <c r="CM51" s="20">
        <v>0</v>
      </c>
      <c r="CN51" s="20">
        <v>0</v>
      </c>
      <c r="CO51" s="20">
        <v>55921.759999999995</v>
      </c>
      <c r="CP51" s="20">
        <v>0</v>
      </c>
      <c r="CQ51" s="28">
        <f>'FY21 Final Initial $$'!CQ51/'FY21 FTE'!CQ$120</f>
        <v>0</v>
      </c>
      <c r="CR51" s="20">
        <v>0</v>
      </c>
      <c r="CS51" s="20">
        <v>0</v>
      </c>
      <c r="CT51" s="20">
        <v>0</v>
      </c>
      <c r="CU51" s="20">
        <v>20046.777777777777</v>
      </c>
      <c r="CV51" s="28">
        <f>'FY21 Final Initial $$'!CV51/'FY21 FTE'!CV$120</f>
        <v>0</v>
      </c>
      <c r="CW51" s="28">
        <f>'FY21 Final Initial $$'!CW51/'FY21 FTE'!CW$120</f>
        <v>0</v>
      </c>
      <c r="CX51" s="20">
        <v>0</v>
      </c>
      <c r="CY51" s="28">
        <f>'FY21 Final Initial $$'!CY51/'FY21 FTE'!CY$120</f>
        <v>0</v>
      </c>
      <c r="CZ51" s="20">
        <v>0</v>
      </c>
      <c r="DA51" s="20">
        <v>0</v>
      </c>
      <c r="DB51" s="20">
        <v>37200</v>
      </c>
      <c r="DC51" s="20">
        <v>65096.123653336537</v>
      </c>
      <c r="DD51" s="20">
        <v>0</v>
      </c>
      <c r="DE51" s="20">
        <v>0</v>
      </c>
      <c r="DF51" s="20">
        <v>0</v>
      </c>
      <c r="DG51" s="20">
        <v>0</v>
      </c>
      <c r="DH51" s="28">
        <f>'FY21 Final Initial $$'!DH51/'FY21 FTE'!DH$120</f>
        <v>0</v>
      </c>
      <c r="DI51" s="20"/>
      <c r="DJ51" s="20">
        <v>2625.0000469386578</v>
      </c>
      <c r="DK51" s="22">
        <v>0</v>
      </c>
      <c r="DL51" s="20">
        <v>149638.89023555291</v>
      </c>
      <c r="DM51" s="20">
        <v>0</v>
      </c>
      <c r="DN51" s="20">
        <v>4383316.045709664</v>
      </c>
      <c r="DO51" s="29">
        <f t="shared" si="1"/>
        <v>5</v>
      </c>
      <c r="DP51" s="29">
        <f t="shared" si="1"/>
        <v>5</v>
      </c>
      <c r="DQ51" s="29">
        <f t="shared" si="2"/>
        <v>13.000000000000004</v>
      </c>
      <c r="DR51" s="29">
        <f t="shared" si="3"/>
        <v>5.5</v>
      </c>
      <c r="DS51" s="29">
        <f t="shared" si="4"/>
        <v>0</v>
      </c>
    </row>
    <row r="52" spans="1:123" x14ac:dyDescent="0.25">
      <c r="A52" s="18">
        <v>259</v>
      </c>
      <c r="B52" t="s">
        <v>192</v>
      </c>
      <c r="C52" t="s">
        <v>135</v>
      </c>
      <c r="D52">
        <v>7</v>
      </c>
      <c r="E52">
        <v>423</v>
      </c>
      <c r="F52" s="19">
        <f t="shared" si="0"/>
        <v>0.71867612293144212</v>
      </c>
      <c r="G52">
        <v>304</v>
      </c>
      <c r="H52" s="28">
        <f>'FY21 Final Initial $$'!H52/'FY21 FTE'!H$120</f>
        <v>1</v>
      </c>
      <c r="I52" s="28">
        <f>'FY21 Final Initial $$'!I52/'FY21 FTE'!I$120</f>
        <v>1</v>
      </c>
      <c r="J52" s="28">
        <f>'FY21 Final Initial $$'!J52/'FY21 FTE'!J$120</f>
        <v>1.1000000000000001</v>
      </c>
      <c r="K52" s="28">
        <f>'FY21 Final Initial $$'!K52/'FY21 FTE'!K$120</f>
        <v>0</v>
      </c>
      <c r="L52" s="28">
        <f>'FY21 Final Initial $$'!L52/'FY21 FTE'!L$120</f>
        <v>0</v>
      </c>
      <c r="M52" s="28">
        <f>'FY21 Final Initial $$'!M52/'FY21 FTE'!M$120</f>
        <v>1</v>
      </c>
      <c r="N52" s="28">
        <f>'FY21 Final Initial $$'!N52/'FY21 FTE'!N$120</f>
        <v>1</v>
      </c>
      <c r="O52" s="28">
        <f>'FY21 Final Initial $$'!O52/'FY21 FTE'!O$120</f>
        <v>1.1000000000000001</v>
      </c>
      <c r="P52" s="28">
        <f>'FY21 Final Initial $$'!P52/'FY21 FTE'!P$120</f>
        <v>0</v>
      </c>
      <c r="Q52" s="28">
        <f>'FY21 Final Initial $$'!Q52/'FY21 FTE'!Q$120</f>
        <v>0</v>
      </c>
      <c r="R52" s="28">
        <f>'FY21 Final Initial $$'!R52/'FY21 FTE'!R$120</f>
        <v>0</v>
      </c>
      <c r="S52" s="28">
        <f>'FY21 Final Initial $$'!S52/'FY21 FTE'!S$120</f>
        <v>1</v>
      </c>
      <c r="T52" s="28">
        <f>'FY21 Final Initial $$'!T52/'FY21 FTE'!T$120</f>
        <v>1</v>
      </c>
      <c r="U52" s="28">
        <f>'FY21 Final Initial $$'!U52/'FY21 FTE'!U$120</f>
        <v>2</v>
      </c>
      <c r="V52" s="28">
        <f>'FY21 Final Initial $$'!V52/'FY21 FTE'!V$120</f>
        <v>1</v>
      </c>
      <c r="W52" s="28">
        <f>'FY21 Final Initial $$'!W52/'FY21 FTE'!W$120</f>
        <v>1</v>
      </c>
      <c r="X52" s="28">
        <f>'FY21 Final Initial $$'!X52/'FY21 FTE'!X$120</f>
        <v>1</v>
      </c>
      <c r="Y52" s="28">
        <f>'FY21 Final Initial $$'!Y52/'FY21 FTE'!Y$120</f>
        <v>1</v>
      </c>
      <c r="Z52" s="28">
        <f>'FY21 Final Initial $$'!Z52/'FY21 FTE'!Z$120</f>
        <v>1.5</v>
      </c>
      <c r="AA52" s="28">
        <f>'FY21 Final Initial $$'!AA52/'FY21 FTE'!AA$120</f>
        <v>0</v>
      </c>
      <c r="AB52" s="28">
        <f>'FY21 Final Initial $$'!AB52/'FY21 FTE'!AB$120</f>
        <v>2</v>
      </c>
      <c r="AC52" s="28">
        <f>'FY21 Final Initial $$'!AC52/'FY21 FTE'!AC$120</f>
        <v>2</v>
      </c>
      <c r="AD52" s="28">
        <f>'FY21 Final Initial $$'!AD52/'FY21 FTE'!AD$120</f>
        <v>0</v>
      </c>
      <c r="AE52" s="28">
        <f>'FY21 Final Initial $$'!AE52/'FY21 FTE'!AE$120</f>
        <v>0</v>
      </c>
      <c r="AF52" s="28">
        <f>'FY21 Final Initial $$'!AF52/'FY21 FTE'!AF$120</f>
        <v>2</v>
      </c>
      <c r="AG52" s="28">
        <f>'FY21 Final Initial $$'!AG52/'FY21 FTE'!AG$120</f>
        <v>2</v>
      </c>
      <c r="AH52" s="28">
        <f>'FY21 Final Initial $$'!AH52/'FY21 FTE'!AH$120</f>
        <v>3</v>
      </c>
      <c r="AI52" s="28">
        <f>'FY21 Final Initial $$'!AI52/'FY21 FTE'!AI$120</f>
        <v>3</v>
      </c>
      <c r="AJ52" s="28">
        <f>'FY21 Final Initial $$'!AJ52/'FY21 FTE'!AJ$120</f>
        <v>3</v>
      </c>
      <c r="AK52" s="28">
        <f>'FY21 Final Initial $$'!AK52/'FY21 FTE'!AK$120</f>
        <v>3</v>
      </c>
      <c r="AL52" s="28">
        <f>'FY21 Final Initial $$'!AL52/'FY21 FTE'!AL$120</f>
        <v>3</v>
      </c>
      <c r="AM52" s="28">
        <f>'FY21 Final Initial $$'!AM52/'FY21 FTE'!AM$120</f>
        <v>3</v>
      </c>
      <c r="AN52" s="28">
        <f>'FY21 Final Initial $$'!AN52/'FY21 FTE'!AN$120</f>
        <v>2.0000000000000027</v>
      </c>
      <c r="AO52" s="28">
        <f>'FY21 Final Initial $$'!AO52/'FY21 FTE'!AO$120</f>
        <v>0</v>
      </c>
      <c r="AP52" s="28">
        <f>'FY21 Final Initial $$'!AP52/'FY21 FTE'!AP$120</f>
        <v>0</v>
      </c>
      <c r="AQ52" s="28">
        <f>'FY21 Final Initial $$'!AQ52/'FY21 FTE'!AQ$120</f>
        <v>0</v>
      </c>
      <c r="AR52" s="28">
        <f>'FY21 Final Initial $$'!AR52/'FY21 FTE'!AR$120</f>
        <v>0</v>
      </c>
      <c r="AS52" s="28">
        <f>'FY21 Final Initial $$'!AS52/'FY21 FTE'!AS$120</f>
        <v>0</v>
      </c>
      <c r="AT52" s="28">
        <f>'FY21 Final Initial $$'!AT52/'FY21 FTE'!AT$120</f>
        <v>0</v>
      </c>
      <c r="AU52" s="28">
        <f>'FY21 Final Initial $$'!AU52/'FY21 FTE'!AU$120</f>
        <v>0</v>
      </c>
      <c r="AV52" s="28">
        <f>'FY21 Final Initial $$'!AV52/'FY21 FTE'!AV$120</f>
        <v>0</v>
      </c>
      <c r="AW52" s="28">
        <f>'FY21 Final Initial $$'!AW52/'FY21 FTE'!AW$120</f>
        <v>0</v>
      </c>
      <c r="AX52" s="28">
        <f>'FY21 Final Initial $$'!AX52/'FY21 FTE'!AX$120</f>
        <v>0</v>
      </c>
      <c r="AY52" s="28">
        <f>'FY21 Final Initial $$'!AY52/'FY21 FTE'!AY$120</f>
        <v>1</v>
      </c>
      <c r="AZ52" s="28">
        <f>'FY21 Final Initial $$'!AZ52/'FY21 FTE'!AZ$120</f>
        <v>1</v>
      </c>
      <c r="BA52" s="28">
        <f>'FY21 Final Initial $$'!BA52/'FY21 FTE'!BA$120</f>
        <v>4</v>
      </c>
      <c r="BB52" s="28">
        <f>'FY21 Final Initial $$'!BB52/'FY21 FTE'!BB$120</f>
        <v>0</v>
      </c>
      <c r="BC52" s="28">
        <f>'FY21 Final Initial $$'!BC52/'FY21 FTE'!BC$120</f>
        <v>0</v>
      </c>
      <c r="BD52" s="28">
        <f>'FY21 Final Initial $$'!BD52/'FY21 FTE'!BD$120</f>
        <v>0</v>
      </c>
      <c r="BE52" s="28">
        <f>'FY21 Final Initial $$'!BE52/'FY21 FTE'!BE$120</f>
        <v>0.13636363636363635</v>
      </c>
      <c r="BF52" s="28">
        <f>'FY21 Final Initial $$'!BF52/'FY21 FTE'!BF$120</f>
        <v>0</v>
      </c>
      <c r="BG52" s="28">
        <f>'FY21 Final Initial $$'!BG52/'FY21 FTE'!BG$120</f>
        <v>0</v>
      </c>
      <c r="BH52" s="28">
        <f>'FY21 Final Initial $$'!BH52/'FY21 FTE'!BH$120</f>
        <v>3</v>
      </c>
      <c r="BI52" s="28">
        <f>'FY21 Final Initial $$'!BI52/'FY21 FTE'!BI$120</f>
        <v>3</v>
      </c>
      <c r="BJ52" s="28">
        <f>'FY21 Final Initial $$'!BJ52/'FY21 FTE'!BJ$120</f>
        <v>1</v>
      </c>
      <c r="BK52" s="20">
        <v>0</v>
      </c>
      <c r="BL52" s="20"/>
      <c r="BM52" s="20"/>
      <c r="BN52" s="20">
        <v>167060.54</v>
      </c>
      <c r="BO52" s="20">
        <v>2763.83</v>
      </c>
      <c r="BP52" s="20">
        <v>0</v>
      </c>
      <c r="BQ52" s="28">
        <f>'FY21 Final Initial $$'!BQ52/'FY21 FTE'!BQ$120</f>
        <v>0</v>
      </c>
      <c r="BR52" s="28">
        <f>'FY21 Final Initial $$'!BR52/'FY21 FTE'!BR$120</f>
        <v>0</v>
      </c>
      <c r="BS52" s="28">
        <f>'FY21 Final Initial $$'!BS52/'FY21 FTE'!BS$120</f>
        <v>0</v>
      </c>
      <c r="BT52" s="28">
        <f>'FY21 Final Initial $$'!BT52/'FY21 FTE'!BT$120</f>
        <v>0</v>
      </c>
      <c r="BU52" s="28">
        <f>'FY21 Final Initial $$'!BU52/'FY21 FTE'!BU$120</f>
        <v>0</v>
      </c>
      <c r="BV52" s="28">
        <f>'FY21 Final Initial $$'!BV52/'FY21 FTE'!BV$120</f>
        <v>0</v>
      </c>
      <c r="BW52" s="28">
        <f>'FY21 Final Initial $$'!BW52/'FY21 FTE'!BW$120</f>
        <v>0</v>
      </c>
      <c r="BX52" s="20">
        <v>0</v>
      </c>
      <c r="BY52" s="20">
        <v>0</v>
      </c>
      <c r="BZ52" s="20">
        <v>0</v>
      </c>
      <c r="CA52" s="20">
        <v>0</v>
      </c>
      <c r="CB52" s="28">
        <f>'FY21 Final Initial $$'!CB52/'FY21 FTE'!CB$120</f>
        <v>0</v>
      </c>
      <c r="CC52" s="28">
        <f>'FY21 Final Initial $$'!CC52/'FY21 FTE'!CC$120</f>
        <v>0</v>
      </c>
      <c r="CD52" s="20">
        <v>0</v>
      </c>
      <c r="CE52" s="28">
        <f>'FY21 Final Initial $$'!CE52/'FY21 FTE'!CE$120</f>
        <v>0</v>
      </c>
      <c r="CF52" s="28">
        <f>'FY21 Final Initial $$'!CF52/'FY21 FTE'!CF$120</f>
        <v>0</v>
      </c>
      <c r="CG52" s="28">
        <f>'FY21 Final Initial $$'!CG52/'FY21 FTE'!CG$120</f>
        <v>0</v>
      </c>
      <c r="CH52" s="28">
        <f>'FY21 Final Initial $$'!CH52/'FY21 FTE'!CH$120</f>
        <v>0</v>
      </c>
      <c r="CI52" s="28">
        <f>'FY21 Final Initial $$'!CI52/'FY21 FTE'!CI$120</f>
        <v>0</v>
      </c>
      <c r="CJ52" s="28">
        <f>'FY21 Final Initial $$'!CJ52/'FY21 FTE'!CJ$120</f>
        <v>0</v>
      </c>
      <c r="CK52" s="28">
        <f>'FY21 Final Initial $$'!CK52/'FY21 FTE'!CK$120</f>
        <v>0</v>
      </c>
      <c r="CL52" s="28">
        <f>'FY21 Final Initial $$'!CL52/'FY21 FTE'!CL$120</f>
        <v>0</v>
      </c>
      <c r="CM52" s="20">
        <v>0</v>
      </c>
      <c r="CN52" s="20">
        <v>0</v>
      </c>
      <c r="CO52" s="20">
        <v>111843.51999999999</v>
      </c>
      <c r="CP52" s="20">
        <v>0</v>
      </c>
      <c r="CQ52" s="28">
        <f>'FY21 Final Initial $$'!CQ52/'FY21 FTE'!CQ$120</f>
        <v>0</v>
      </c>
      <c r="CR52" s="20">
        <v>0</v>
      </c>
      <c r="CS52" s="20">
        <v>6080</v>
      </c>
      <c r="CT52" s="20">
        <v>239760</v>
      </c>
      <c r="CU52" s="20">
        <v>23930.3</v>
      </c>
      <c r="CV52" s="28">
        <f>'FY21 Final Initial $$'!CV52/'FY21 FTE'!CV$120</f>
        <v>0</v>
      </c>
      <c r="CW52" s="28">
        <f>'FY21 Final Initial $$'!CW52/'FY21 FTE'!CW$120</f>
        <v>0</v>
      </c>
      <c r="CX52" s="20">
        <v>0</v>
      </c>
      <c r="CY52" s="28">
        <f>'FY21 Final Initial $$'!CY52/'FY21 FTE'!CY$120</f>
        <v>0</v>
      </c>
      <c r="CZ52" s="20">
        <v>0</v>
      </c>
      <c r="DA52" s="20">
        <v>0</v>
      </c>
      <c r="DB52" s="20">
        <v>42300</v>
      </c>
      <c r="DC52" s="20">
        <v>80488.648901898021</v>
      </c>
      <c r="DD52" s="20">
        <v>0</v>
      </c>
      <c r="DE52" s="20">
        <v>0</v>
      </c>
      <c r="DF52" s="20">
        <v>0</v>
      </c>
      <c r="DG52" s="20">
        <v>0</v>
      </c>
      <c r="DH52" s="28">
        <f>'FY21 Final Initial $$'!DH52/'FY21 FTE'!DH$120</f>
        <v>0</v>
      </c>
      <c r="DI52" s="20"/>
      <c r="DJ52" s="20">
        <v>24699.999883770943</v>
      </c>
      <c r="DK52" s="22">
        <v>0</v>
      </c>
      <c r="DL52" s="20">
        <v>0</v>
      </c>
      <c r="DM52" s="20">
        <v>0</v>
      </c>
      <c r="DN52" s="20">
        <v>5540801.8016364789</v>
      </c>
      <c r="DO52" s="29">
        <f t="shared" si="1"/>
        <v>7</v>
      </c>
      <c r="DP52" s="29">
        <f t="shared" si="1"/>
        <v>7</v>
      </c>
      <c r="DQ52" s="29">
        <f t="shared" si="2"/>
        <v>14.000000000000004</v>
      </c>
      <c r="DR52" s="29">
        <f t="shared" si="3"/>
        <v>6.1363636363636367</v>
      </c>
      <c r="DS52" s="29">
        <f t="shared" si="4"/>
        <v>0</v>
      </c>
    </row>
    <row r="53" spans="1:123" x14ac:dyDescent="0.25">
      <c r="A53" s="18">
        <v>344</v>
      </c>
      <c r="B53" t="s">
        <v>193</v>
      </c>
      <c r="C53" t="s">
        <v>135</v>
      </c>
      <c r="D53">
        <v>8</v>
      </c>
      <c r="E53">
        <v>307</v>
      </c>
      <c r="F53" s="19">
        <f t="shared" si="0"/>
        <v>0.7947882736156352</v>
      </c>
      <c r="G53">
        <v>244</v>
      </c>
      <c r="H53" s="28">
        <f>'FY21 Final Initial $$'!H53/'FY21 FTE'!H$120</f>
        <v>1</v>
      </c>
      <c r="I53" s="28">
        <f>'FY21 Final Initial $$'!I53/'FY21 FTE'!I$120</f>
        <v>1</v>
      </c>
      <c r="J53" s="28">
        <f>'FY21 Final Initial $$'!J53/'FY21 FTE'!J$120</f>
        <v>0.8</v>
      </c>
      <c r="K53" s="28">
        <f>'FY21 Final Initial $$'!K53/'FY21 FTE'!K$120</f>
        <v>0</v>
      </c>
      <c r="L53" s="28">
        <f>'FY21 Final Initial $$'!L53/'FY21 FTE'!L$120</f>
        <v>0</v>
      </c>
      <c r="M53" s="28">
        <f>'FY21 Final Initial $$'!M53/'FY21 FTE'!M$120</f>
        <v>1</v>
      </c>
      <c r="N53" s="28">
        <f>'FY21 Final Initial $$'!N53/'FY21 FTE'!N$120</f>
        <v>1</v>
      </c>
      <c r="O53" s="28">
        <f>'FY21 Final Initial $$'!O53/'FY21 FTE'!O$120</f>
        <v>0</v>
      </c>
      <c r="P53" s="28">
        <f>'FY21 Final Initial $$'!P53/'FY21 FTE'!P$120</f>
        <v>0</v>
      </c>
      <c r="Q53" s="28">
        <f>'FY21 Final Initial $$'!Q53/'FY21 FTE'!Q$120</f>
        <v>0</v>
      </c>
      <c r="R53" s="28">
        <f>'FY21 Final Initial $$'!R53/'FY21 FTE'!R$120</f>
        <v>0</v>
      </c>
      <c r="S53" s="28">
        <f>'FY21 Final Initial $$'!S53/'FY21 FTE'!S$120</f>
        <v>1</v>
      </c>
      <c r="T53" s="28">
        <f>'FY21 Final Initial $$'!T53/'FY21 FTE'!T$120</f>
        <v>1</v>
      </c>
      <c r="U53" s="28">
        <f>'FY21 Final Initial $$'!U53/'FY21 FTE'!U$120</f>
        <v>2</v>
      </c>
      <c r="V53" s="28">
        <f>'FY21 Final Initial $$'!V53/'FY21 FTE'!V$120</f>
        <v>1</v>
      </c>
      <c r="W53" s="28">
        <f>'FY21 Final Initial $$'!W53/'FY21 FTE'!W$120</f>
        <v>1</v>
      </c>
      <c r="X53" s="28">
        <f>'FY21 Final Initial $$'!X53/'FY21 FTE'!X$120</f>
        <v>1</v>
      </c>
      <c r="Y53" s="28">
        <f>'FY21 Final Initial $$'!Y53/'FY21 FTE'!Y$120</f>
        <v>1</v>
      </c>
      <c r="Z53" s="28">
        <f>'FY21 Final Initial $$'!Z53/'FY21 FTE'!Z$120</f>
        <v>0</v>
      </c>
      <c r="AA53" s="28">
        <f>'FY21 Final Initial $$'!AA53/'FY21 FTE'!AA$120</f>
        <v>0</v>
      </c>
      <c r="AB53" s="28">
        <f>'FY21 Final Initial $$'!AB53/'FY21 FTE'!AB$120</f>
        <v>2</v>
      </c>
      <c r="AC53" s="28">
        <f>'FY21 Final Initial $$'!AC53/'FY21 FTE'!AC$120</f>
        <v>2</v>
      </c>
      <c r="AD53" s="28">
        <f>'FY21 Final Initial $$'!AD53/'FY21 FTE'!AD$120</f>
        <v>0</v>
      </c>
      <c r="AE53" s="28">
        <f>'FY21 Final Initial $$'!AE53/'FY21 FTE'!AE$120</f>
        <v>0</v>
      </c>
      <c r="AF53" s="28">
        <f>'FY21 Final Initial $$'!AF53/'FY21 FTE'!AF$120</f>
        <v>3</v>
      </c>
      <c r="AG53" s="28">
        <f>'FY21 Final Initial $$'!AG53/'FY21 FTE'!AG$120</f>
        <v>3</v>
      </c>
      <c r="AH53" s="28">
        <f>'FY21 Final Initial $$'!AH53/'FY21 FTE'!AH$120</f>
        <v>3</v>
      </c>
      <c r="AI53" s="28">
        <f>'FY21 Final Initial $$'!AI53/'FY21 FTE'!AI$120</f>
        <v>3</v>
      </c>
      <c r="AJ53" s="28">
        <f>'FY21 Final Initial $$'!AJ53/'FY21 FTE'!AJ$120</f>
        <v>2</v>
      </c>
      <c r="AK53" s="28">
        <f>'FY21 Final Initial $$'!AK53/'FY21 FTE'!AK$120</f>
        <v>2</v>
      </c>
      <c r="AL53" s="28">
        <f>'FY21 Final Initial $$'!AL53/'FY21 FTE'!AL$120</f>
        <v>2</v>
      </c>
      <c r="AM53" s="28">
        <f>'FY21 Final Initial $$'!AM53/'FY21 FTE'!AM$120</f>
        <v>2</v>
      </c>
      <c r="AN53" s="28">
        <f>'FY21 Final Initial $$'!AN53/'FY21 FTE'!AN$120</f>
        <v>2.0000000000000027</v>
      </c>
      <c r="AO53" s="28">
        <f>'FY21 Final Initial $$'!AO53/'FY21 FTE'!AO$120</f>
        <v>0</v>
      </c>
      <c r="AP53" s="28">
        <f>'FY21 Final Initial $$'!AP53/'FY21 FTE'!AP$120</f>
        <v>0</v>
      </c>
      <c r="AQ53" s="28">
        <f>'FY21 Final Initial $$'!AQ53/'FY21 FTE'!AQ$120</f>
        <v>0</v>
      </c>
      <c r="AR53" s="28">
        <f>'FY21 Final Initial $$'!AR53/'FY21 FTE'!AR$120</f>
        <v>0</v>
      </c>
      <c r="AS53" s="28">
        <f>'FY21 Final Initial $$'!AS53/'FY21 FTE'!AS$120</f>
        <v>0</v>
      </c>
      <c r="AT53" s="28">
        <f>'FY21 Final Initial $$'!AT53/'FY21 FTE'!AT$120</f>
        <v>0</v>
      </c>
      <c r="AU53" s="28">
        <f>'FY21 Final Initial $$'!AU53/'FY21 FTE'!AU$120</f>
        <v>0</v>
      </c>
      <c r="AV53" s="28">
        <f>'FY21 Final Initial $$'!AV53/'FY21 FTE'!AV$120</f>
        <v>0</v>
      </c>
      <c r="AW53" s="28">
        <f>'FY21 Final Initial $$'!AW53/'FY21 FTE'!AW$120</f>
        <v>0</v>
      </c>
      <c r="AX53" s="28">
        <f>'FY21 Final Initial $$'!AX53/'FY21 FTE'!AX$120</f>
        <v>0</v>
      </c>
      <c r="AY53" s="28">
        <f>'FY21 Final Initial $$'!AY53/'FY21 FTE'!AY$120</f>
        <v>1</v>
      </c>
      <c r="AZ53" s="28">
        <f>'FY21 Final Initial $$'!AZ53/'FY21 FTE'!AZ$120</f>
        <v>1</v>
      </c>
      <c r="BA53" s="28">
        <f>'FY21 Final Initial $$'!BA53/'FY21 FTE'!BA$120</f>
        <v>6</v>
      </c>
      <c r="BB53" s="28">
        <f>'FY21 Final Initial $$'!BB53/'FY21 FTE'!BB$120</f>
        <v>6</v>
      </c>
      <c r="BC53" s="28">
        <f>'FY21 Final Initial $$'!BC53/'FY21 FTE'!BC$120</f>
        <v>0</v>
      </c>
      <c r="BD53" s="28">
        <f>'FY21 Final Initial $$'!BD53/'FY21 FTE'!BD$120</f>
        <v>0</v>
      </c>
      <c r="BE53" s="28">
        <f>'FY21 Final Initial $$'!BE53/'FY21 FTE'!BE$120</f>
        <v>0.13636363636363635</v>
      </c>
      <c r="BF53" s="28">
        <f>'FY21 Final Initial $$'!BF53/'FY21 FTE'!BF$120</f>
        <v>0</v>
      </c>
      <c r="BG53" s="28">
        <f>'FY21 Final Initial $$'!BG53/'FY21 FTE'!BG$120</f>
        <v>0</v>
      </c>
      <c r="BH53" s="28">
        <f>'FY21 Final Initial $$'!BH53/'FY21 FTE'!BH$120</f>
        <v>3</v>
      </c>
      <c r="BI53" s="28">
        <f>'FY21 Final Initial $$'!BI53/'FY21 FTE'!BI$120</f>
        <v>3</v>
      </c>
      <c r="BJ53" s="28">
        <f>'FY21 Final Initial $$'!BJ53/'FY21 FTE'!BJ$120</f>
        <v>1</v>
      </c>
      <c r="BK53" s="20">
        <v>0</v>
      </c>
      <c r="BL53" s="20"/>
      <c r="BM53" s="20"/>
      <c r="BN53" s="20">
        <v>129557.15</v>
      </c>
      <c r="BO53" s="20">
        <v>2143.38</v>
      </c>
      <c r="BP53" s="20">
        <v>0</v>
      </c>
      <c r="BQ53" s="28">
        <f>'FY21 Final Initial $$'!BQ53/'FY21 FTE'!BQ$120</f>
        <v>0</v>
      </c>
      <c r="BR53" s="28">
        <f>'FY21 Final Initial $$'!BR53/'FY21 FTE'!BR$120</f>
        <v>0</v>
      </c>
      <c r="BS53" s="28">
        <f>'FY21 Final Initial $$'!BS53/'FY21 FTE'!BS$120</f>
        <v>0</v>
      </c>
      <c r="BT53" s="28">
        <f>'FY21 Final Initial $$'!BT53/'FY21 FTE'!BT$120</f>
        <v>0</v>
      </c>
      <c r="BU53" s="28">
        <f>'FY21 Final Initial $$'!BU53/'FY21 FTE'!BU$120</f>
        <v>0</v>
      </c>
      <c r="BV53" s="28">
        <f>'FY21 Final Initial $$'!BV53/'FY21 FTE'!BV$120</f>
        <v>0</v>
      </c>
      <c r="BW53" s="28">
        <f>'FY21 Final Initial $$'!BW53/'FY21 FTE'!BW$120</f>
        <v>0</v>
      </c>
      <c r="BX53" s="20">
        <v>0</v>
      </c>
      <c r="BY53" s="20">
        <v>0</v>
      </c>
      <c r="BZ53" s="20">
        <v>0</v>
      </c>
      <c r="CA53" s="20">
        <v>0</v>
      </c>
      <c r="CB53" s="28">
        <f>'FY21 Final Initial $$'!CB53/'FY21 FTE'!CB$120</f>
        <v>0</v>
      </c>
      <c r="CC53" s="28">
        <f>'FY21 Final Initial $$'!CC53/'FY21 FTE'!CC$120</f>
        <v>0</v>
      </c>
      <c r="CD53" s="20">
        <v>0</v>
      </c>
      <c r="CE53" s="28">
        <f>'FY21 Final Initial $$'!CE53/'FY21 FTE'!CE$120</f>
        <v>0</v>
      </c>
      <c r="CF53" s="28">
        <f>'FY21 Final Initial $$'!CF53/'FY21 FTE'!CF$120</f>
        <v>0</v>
      </c>
      <c r="CG53" s="28">
        <f>'FY21 Final Initial $$'!CG53/'FY21 FTE'!CG$120</f>
        <v>0</v>
      </c>
      <c r="CH53" s="28">
        <f>'FY21 Final Initial $$'!CH53/'FY21 FTE'!CH$120</f>
        <v>0</v>
      </c>
      <c r="CI53" s="28">
        <f>'FY21 Final Initial $$'!CI53/'FY21 FTE'!CI$120</f>
        <v>0</v>
      </c>
      <c r="CJ53" s="28">
        <f>'FY21 Final Initial $$'!CJ53/'FY21 FTE'!CJ$120</f>
        <v>0</v>
      </c>
      <c r="CK53" s="28">
        <f>'FY21 Final Initial $$'!CK53/'FY21 FTE'!CK$120</f>
        <v>0</v>
      </c>
      <c r="CL53" s="28">
        <f>'FY21 Final Initial $$'!CL53/'FY21 FTE'!CL$120</f>
        <v>0</v>
      </c>
      <c r="CM53" s="20">
        <v>0</v>
      </c>
      <c r="CN53" s="20">
        <v>0</v>
      </c>
      <c r="CO53" s="20">
        <v>55921.759999999995</v>
      </c>
      <c r="CP53" s="20">
        <v>0</v>
      </c>
      <c r="CQ53" s="28">
        <f>'FY21 Final Initial $$'!CQ53/'FY21 FTE'!CQ$120</f>
        <v>0</v>
      </c>
      <c r="CR53" s="20">
        <v>0</v>
      </c>
      <c r="CS53" s="20">
        <v>9760</v>
      </c>
      <c r="CT53" s="20">
        <v>0</v>
      </c>
      <c r="CU53" s="20">
        <v>17460.970720720721</v>
      </c>
      <c r="CV53" s="28">
        <f>'FY21 Final Initial $$'!CV53/'FY21 FTE'!CV$120</f>
        <v>0</v>
      </c>
      <c r="CW53" s="28">
        <f>'FY21 Final Initial $$'!CW53/'FY21 FTE'!CW$120</f>
        <v>0</v>
      </c>
      <c r="CX53" s="20">
        <v>0</v>
      </c>
      <c r="CY53" s="28">
        <f>'FY21 Final Initial $$'!CY53/'FY21 FTE'!CY$120</f>
        <v>0</v>
      </c>
      <c r="CZ53" s="20">
        <v>0</v>
      </c>
      <c r="DA53" s="20">
        <v>0</v>
      </c>
      <c r="DB53" s="20">
        <v>30700</v>
      </c>
      <c r="DC53" s="20">
        <v>74398.038046549744</v>
      </c>
      <c r="DD53" s="20">
        <v>0</v>
      </c>
      <c r="DE53" s="20">
        <v>0</v>
      </c>
      <c r="DF53" s="20">
        <v>13859</v>
      </c>
      <c r="DG53" s="20">
        <v>0</v>
      </c>
      <c r="DH53" s="28">
        <f>'FY21 Final Initial $$'!DH53/'FY21 FTE'!DH$120</f>
        <v>0</v>
      </c>
      <c r="DI53" s="20"/>
      <c r="DJ53" s="20">
        <v>18850.000401958823</v>
      </c>
      <c r="DK53" s="22">
        <v>0</v>
      </c>
      <c r="DL53" s="20">
        <v>0</v>
      </c>
      <c r="DM53" s="20">
        <v>0</v>
      </c>
      <c r="DN53" s="20">
        <v>5041666.4511288414</v>
      </c>
      <c r="DO53" s="29">
        <f t="shared" si="1"/>
        <v>8</v>
      </c>
      <c r="DP53" s="29">
        <f t="shared" si="1"/>
        <v>8</v>
      </c>
      <c r="DQ53" s="29">
        <f t="shared" si="2"/>
        <v>10.000000000000004</v>
      </c>
      <c r="DR53" s="29">
        <f t="shared" si="3"/>
        <v>8.1363636363636367</v>
      </c>
      <c r="DS53" s="29">
        <f t="shared" si="4"/>
        <v>6</v>
      </c>
    </row>
    <row r="54" spans="1:123" x14ac:dyDescent="0.25">
      <c r="A54" s="18">
        <v>417</v>
      </c>
      <c r="B54" t="s">
        <v>194</v>
      </c>
      <c r="C54" t="s">
        <v>152</v>
      </c>
      <c r="D54">
        <v>8</v>
      </c>
      <c r="E54">
        <v>216</v>
      </c>
      <c r="F54" s="19">
        <f t="shared" si="0"/>
        <v>0.92129629629629628</v>
      </c>
      <c r="G54">
        <v>199</v>
      </c>
      <c r="H54" s="28">
        <f>'FY21 Final Initial $$'!H54/'FY21 FTE'!H$120</f>
        <v>1</v>
      </c>
      <c r="I54" s="28">
        <f>'FY21 Final Initial $$'!I54/'FY21 FTE'!I$120</f>
        <v>1</v>
      </c>
      <c r="J54" s="28">
        <f>'FY21 Final Initial $$'!J54/'FY21 FTE'!J$120</f>
        <v>0.7</v>
      </c>
      <c r="K54" s="28">
        <f>'FY21 Final Initial $$'!K54/'FY21 FTE'!K$120</f>
        <v>1</v>
      </c>
      <c r="L54" s="28">
        <f>'FY21 Final Initial $$'!L54/'FY21 FTE'!L$120</f>
        <v>0</v>
      </c>
      <c r="M54" s="28">
        <f>'FY21 Final Initial $$'!M54/'FY21 FTE'!M$120</f>
        <v>0.5</v>
      </c>
      <c r="N54" s="28">
        <f>'FY21 Final Initial $$'!N54/'FY21 FTE'!N$120</f>
        <v>1</v>
      </c>
      <c r="O54" s="28">
        <f>'FY21 Final Initial $$'!O54/'FY21 FTE'!O$120</f>
        <v>0</v>
      </c>
      <c r="P54" s="28">
        <f>'FY21 Final Initial $$'!P54/'FY21 FTE'!P$120</f>
        <v>0</v>
      </c>
      <c r="Q54" s="28">
        <f>'FY21 Final Initial $$'!Q54/'FY21 FTE'!Q$120</f>
        <v>1.0000004487061702</v>
      </c>
      <c r="R54" s="28">
        <f>'FY21 Final Initial $$'!R54/'FY21 FTE'!R$120</f>
        <v>0</v>
      </c>
      <c r="S54" s="28">
        <f>'FY21 Final Initial $$'!S54/'FY21 FTE'!S$120</f>
        <v>1</v>
      </c>
      <c r="T54" s="28">
        <f>'FY21 Final Initial $$'!T54/'FY21 FTE'!T$120</f>
        <v>1</v>
      </c>
      <c r="U54" s="28">
        <f>'FY21 Final Initial $$'!U54/'FY21 FTE'!U$120</f>
        <v>3</v>
      </c>
      <c r="V54" s="28">
        <f>'FY21 Final Initial $$'!V54/'FY21 FTE'!V$120</f>
        <v>0.5</v>
      </c>
      <c r="W54" s="28">
        <f>'FY21 Final Initial $$'!W54/'FY21 FTE'!W$120</f>
        <v>0</v>
      </c>
      <c r="X54" s="28">
        <f>'FY21 Final Initial $$'!X54/'FY21 FTE'!X$120</f>
        <v>0</v>
      </c>
      <c r="Y54" s="28">
        <f>'FY21 Final Initial $$'!Y54/'FY21 FTE'!Y$120</f>
        <v>0</v>
      </c>
      <c r="Z54" s="28">
        <f>'FY21 Final Initial $$'!Z54/'FY21 FTE'!Z$120</f>
        <v>0</v>
      </c>
      <c r="AA54" s="28">
        <f>'FY21 Final Initial $$'!AA54/'FY21 FTE'!AA$120</f>
        <v>0</v>
      </c>
      <c r="AB54" s="28">
        <f>'FY21 Final Initial $$'!AB54/'FY21 FTE'!AB$120</f>
        <v>0</v>
      </c>
      <c r="AC54" s="28">
        <f>'FY21 Final Initial $$'!AC54/'FY21 FTE'!AC$120</f>
        <v>0</v>
      </c>
      <c r="AD54" s="28">
        <f>'FY21 Final Initial $$'!AD54/'FY21 FTE'!AD$120</f>
        <v>0</v>
      </c>
      <c r="AE54" s="28">
        <f>'FY21 Final Initial $$'!AE54/'FY21 FTE'!AE$120</f>
        <v>0</v>
      </c>
      <c r="AF54" s="28">
        <f>'FY21 Final Initial $$'!AF54/'FY21 FTE'!AF$120</f>
        <v>0</v>
      </c>
      <c r="AG54" s="28">
        <f>'FY21 Final Initial $$'!AG54/'FY21 FTE'!AG$120</f>
        <v>0</v>
      </c>
      <c r="AH54" s="28">
        <f>'FY21 Final Initial $$'!AH54/'FY21 FTE'!AH$120</f>
        <v>0</v>
      </c>
      <c r="AI54" s="28">
        <f>'FY21 Final Initial $$'!AI54/'FY21 FTE'!AI$120</f>
        <v>0</v>
      </c>
      <c r="AJ54" s="28">
        <f>'FY21 Final Initial $$'!AJ54/'FY21 FTE'!AJ$120</f>
        <v>0</v>
      </c>
      <c r="AK54" s="28">
        <f>'FY21 Final Initial $$'!AK54/'FY21 FTE'!AK$120</f>
        <v>0</v>
      </c>
      <c r="AL54" s="28">
        <f>'FY21 Final Initial $$'!AL54/'FY21 FTE'!AL$120</f>
        <v>0</v>
      </c>
      <c r="AM54" s="28">
        <f>'FY21 Final Initial $$'!AM54/'FY21 FTE'!AM$120</f>
        <v>0</v>
      </c>
      <c r="AN54" s="28">
        <f>'FY21 Final Initial $$'!AN54/'FY21 FTE'!AN$120</f>
        <v>0</v>
      </c>
      <c r="AO54" s="28">
        <f>'FY21 Final Initial $$'!AO54/'FY21 FTE'!AO$120</f>
        <v>2.9</v>
      </c>
      <c r="AP54" s="28">
        <f>'FY21 Final Initial $$'!AP54/'FY21 FTE'!AP$120</f>
        <v>3.8</v>
      </c>
      <c r="AQ54" s="28">
        <f>'FY21 Final Initial $$'!AQ54/'FY21 FTE'!AQ$120</f>
        <v>3.1</v>
      </c>
      <c r="AR54" s="28">
        <f>'FY21 Final Initial $$'!AR54/'FY21 FTE'!AR$120</f>
        <v>0</v>
      </c>
      <c r="AS54" s="28">
        <f>'FY21 Final Initial $$'!AS54/'FY21 FTE'!AS$120</f>
        <v>0</v>
      </c>
      <c r="AT54" s="28">
        <f>'FY21 Final Initial $$'!AT54/'FY21 FTE'!AT$120</f>
        <v>0</v>
      </c>
      <c r="AU54" s="28">
        <f>'FY21 Final Initial $$'!AU54/'FY21 FTE'!AU$120</f>
        <v>0</v>
      </c>
      <c r="AV54" s="28">
        <f>'FY21 Final Initial $$'!AV54/'FY21 FTE'!AV$120</f>
        <v>0</v>
      </c>
      <c r="AW54" s="28">
        <f>'FY21 Final Initial $$'!AW54/'FY21 FTE'!AW$120</f>
        <v>0</v>
      </c>
      <c r="AX54" s="28">
        <f>'FY21 Final Initial $$'!AX54/'FY21 FTE'!AX$120</f>
        <v>0</v>
      </c>
      <c r="AY54" s="28">
        <f>'FY21 Final Initial $$'!AY54/'FY21 FTE'!AY$120</f>
        <v>1</v>
      </c>
      <c r="AZ54" s="28">
        <f>'FY21 Final Initial $$'!AZ54/'FY21 FTE'!AZ$120</f>
        <v>3</v>
      </c>
      <c r="BA54" s="28">
        <f>'FY21 Final Initial $$'!BA54/'FY21 FTE'!BA$120</f>
        <v>9</v>
      </c>
      <c r="BB54" s="28">
        <f>'FY21 Final Initial $$'!BB54/'FY21 FTE'!BB$120</f>
        <v>4</v>
      </c>
      <c r="BC54" s="28">
        <f>'FY21 Final Initial $$'!BC54/'FY21 FTE'!BC$120</f>
        <v>1</v>
      </c>
      <c r="BD54" s="28">
        <f>'FY21 Final Initial $$'!BD54/'FY21 FTE'!BD$120</f>
        <v>0</v>
      </c>
      <c r="BE54" s="28">
        <f>'FY21 Final Initial $$'!BE54/'FY21 FTE'!BE$120</f>
        <v>9.0909090909090912E-2</v>
      </c>
      <c r="BF54" s="28">
        <f>'FY21 Final Initial $$'!BF54/'FY21 FTE'!BF$120</f>
        <v>0</v>
      </c>
      <c r="BG54" s="28">
        <f>'FY21 Final Initial $$'!BG54/'FY21 FTE'!BG$120</f>
        <v>0</v>
      </c>
      <c r="BH54" s="28">
        <f>'FY21 Final Initial $$'!BH54/'FY21 FTE'!BH$120</f>
        <v>0</v>
      </c>
      <c r="BI54" s="28">
        <f>'FY21 Final Initial $$'!BI54/'FY21 FTE'!BI$120</f>
        <v>0</v>
      </c>
      <c r="BJ54" s="28">
        <f>'FY21 Final Initial $$'!BJ54/'FY21 FTE'!BJ$120</f>
        <v>0</v>
      </c>
      <c r="BK54" s="20">
        <v>0</v>
      </c>
      <c r="BL54" s="20"/>
      <c r="BM54" s="20"/>
      <c r="BN54" s="20">
        <v>88644.37</v>
      </c>
      <c r="BO54" s="20">
        <v>1466.52</v>
      </c>
      <c r="BP54" s="20">
        <v>0</v>
      </c>
      <c r="BQ54" s="28">
        <f>'FY21 Final Initial $$'!BQ54/'FY21 FTE'!BQ$120</f>
        <v>0</v>
      </c>
      <c r="BR54" s="28">
        <f>'FY21 Final Initial $$'!BR54/'FY21 FTE'!BR$120</f>
        <v>0</v>
      </c>
      <c r="BS54" s="28">
        <f>'FY21 Final Initial $$'!BS54/'FY21 FTE'!BS$120</f>
        <v>1</v>
      </c>
      <c r="BT54" s="28">
        <f>'FY21 Final Initial $$'!BT54/'FY21 FTE'!BT$120</f>
        <v>0</v>
      </c>
      <c r="BU54" s="28">
        <f>'FY21 Final Initial $$'!BU54/'FY21 FTE'!BU$120</f>
        <v>0</v>
      </c>
      <c r="BV54" s="28">
        <f>'FY21 Final Initial $$'!BV54/'FY21 FTE'!BV$120</f>
        <v>0</v>
      </c>
      <c r="BW54" s="28">
        <f>'FY21 Final Initial $$'!BW54/'FY21 FTE'!BW$120</f>
        <v>0</v>
      </c>
      <c r="BX54" s="20">
        <v>0</v>
      </c>
      <c r="BY54" s="20">
        <v>0</v>
      </c>
      <c r="BZ54" s="20">
        <v>0</v>
      </c>
      <c r="CA54" s="20">
        <v>0</v>
      </c>
      <c r="CB54" s="28">
        <f>'FY21 Final Initial $$'!CB54/'FY21 FTE'!CB$120</f>
        <v>0</v>
      </c>
      <c r="CC54" s="28">
        <f>'FY21 Final Initial $$'!CC54/'FY21 FTE'!CC$120</f>
        <v>0</v>
      </c>
      <c r="CD54" s="20">
        <v>0</v>
      </c>
      <c r="CE54" s="28">
        <f>'FY21 Final Initial $$'!CE54/'FY21 FTE'!CE$120</f>
        <v>0</v>
      </c>
      <c r="CF54" s="28">
        <f>'FY21 Final Initial $$'!CF54/'FY21 FTE'!CF$120</f>
        <v>0</v>
      </c>
      <c r="CG54" s="28">
        <f>'FY21 Final Initial $$'!CG54/'FY21 FTE'!CG$120</f>
        <v>0</v>
      </c>
      <c r="CH54" s="28">
        <f>'FY21 Final Initial $$'!CH54/'FY21 FTE'!CH$120</f>
        <v>0</v>
      </c>
      <c r="CI54" s="28">
        <f>'FY21 Final Initial $$'!CI54/'FY21 FTE'!CI$120</f>
        <v>0</v>
      </c>
      <c r="CJ54" s="28">
        <f>'FY21 Final Initial $$'!CJ54/'FY21 FTE'!CJ$120</f>
        <v>0</v>
      </c>
      <c r="CK54" s="28">
        <f>'FY21 Final Initial $$'!CK54/'FY21 FTE'!CK$120</f>
        <v>2</v>
      </c>
      <c r="CL54" s="28">
        <f>'FY21 Final Initial $$'!CL54/'FY21 FTE'!CL$120</f>
        <v>0</v>
      </c>
      <c r="CM54" s="20">
        <v>23000</v>
      </c>
      <c r="CN54" s="20">
        <v>5000</v>
      </c>
      <c r="CO54" s="20">
        <v>244045.91999999998</v>
      </c>
      <c r="CP54" s="20">
        <v>100000</v>
      </c>
      <c r="CQ54" s="28">
        <f>'FY21 Final Initial $$'!CQ54/'FY21 FTE'!CQ$120</f>
        <v>0</v>
      </c>
      <c r="CR54" s="20">
        <v>75000</v>
      </c>
      <c r="CS54" s="20">
        <v>7960</v>
      </c>
      <c r="CT54" s="20">
        <v>0</v>
      </c>
      <c r="CU54" s="20">
        <v>18339.2</v>
      </c>
      <c r="CV54" s="28">
        <f>'FY21 Final Initial $$'!CV54/'FY21 FTE'!CV$120</f>
        <v>0</v>
      </c>
      <c r="CW54" s="28">
        <f>'FY21 Final Initial $$'!CW54/'FY21 FTE'!CW$120</f>
        <v>0</v>
      </c>
      <c r="CX54" s="20">
        <v>0</v>
      </c>
      <c r="CY54" s="28">
        <f>'FY21 Final Initial $$'!CY54/'FY21 FTE'!CY$120</f>
        <v>0</v>
      </c>
      <c r="CZ54" s="20">
        <v>0</v>
      </c>
      <c r="DA54" s="20">
        <v>0</v>
      </c>
      <c r="DB54" s="20">
        <v>21600</v>
      </c>
      <c r="DC54" s="20">
        <v>68141.404797052004</v>
      </c>
      <c r="DD54" s="20">
        <v>0</v>
      </c>
      <c r="DE54" s="20">
        <v>0</v>
      </c>
      <c r="DF54" s="20">
        <v>0</v>
      </c>
      <c r="DG54" s="20">
        <v>0</v>
      </c>
      <c r="DH54" s="28">
        <f>'FY21 Final Initial $$'!DH54/'FY21 FTE'!DH$120</f>
        <v>0</v>
      </c>
      <c r="DI54" s="20"/>
      <c r="DJ54" s="20">
        <v>48749.999608844519</v>
      </c>
      <c r="DK54" s="22">
        <v>0</v>
      </c>
      <c r="DL54" s="20">
        <v>0</v>
      </c>
      <c r="DM54" s="20">
        <v>0</v>
      </c>
      <c r="DN54" s="20">
        <v>4834332.8055271385</v>
      </c>
      <c r="DO54" s="29">
        <f t="shared" si="1"/>
        <v>0</v>
      </c>
      <c r="DP54" s="29">
        <f t="shared" si="1"/>
        <v>0</v>
      </c>
      <c r="DQ54" s="29">
        <f t="shared" si="2"/>
        <v>9.7999999999999989</v>
      </c>
      <c r="DR54" s="29">
        <f t="shared" si="3"/>
        <v>13.090909090909092</v>
      </c>
      <c r="DS54" s="29">
        <f t="shared" si="4"/>
        <v>4</v>
      </c>
    </row>
    <row r="55" spans="1:123" x14ac:dyDescent="0.25">
      <c r="A55" s="18">
        <v>261</v>
      </c>
      <c r="B55" t="s">
        <v>195</v>
      </c>
      <c r="C55" t="s">
        <v>135</v>
      </c>
      <c r="D55">
        <v>4</v>
      </c>
      <c r="E55">
        <v>981</v>
      </c>
      <c r="F55" s="19">
        <f t="shared" si="0"/>
        <v>4.1794087665647302E-2</v>
      </c>
      <c r="G55">
        <v>41</v>
      </c>
      <c r="H55" s="28">
        <f>'FY21 Final Initial $$'!H55/'FY21 FTE'!H$120</f>
        <v>1</v>
      </c>
      <c r="I55" s="28">
        <f>'FY21 Final Initial $$'!I55/'FY21 FTE'!I$120</f>
        <v>1</v>
      </c>
      <c r="J55" s="28">
        <f>'FY21 Final Initial $$'!J55/'FY21 FTE'!J$120</f>
        <v>2.5</v>
      </c>
      <c r="K55" s="28">
        <f>'FY21 Final Initial $$'!K55/'FY21 FTE'!K$120</f>
        <v>0</v>
      </c>
      <c r="L55" s="28">
        <f>'FY21 Final Initial $$'!L55/'FY21 FTE'!L$120</f>
        <v>0</v>
      </c>
      <c r="M55" s="28">
        <f>'FY21 Final Initial $$'!M55/'FY21 FTE'!M$120</f>
        <v>1</v>
      </c>
      <c r="N55" s="28">
        <f>'FY21 Final Initial $$'!N55/'FY21 FTE'!N$120</f>
        <v>1</v>
      </c>
      <c r="O55" s="28">
        <f>'FY21 Final Initial $$'!O55/'FY21 FTE'!O$120</f>
        <v>2.5</v>
      </c>
      <c r="P55" s="28">
        <f>'FY21 Final Initial $$'!P55/'FY21 FTE'!P$120</f>
        <v>0</v>
      </c>
      <c r="Q55" s="28">
        <f>'FY21 Final Initial $$'!Q55/'FY21 FTE'!Q$120</f>
        <v>0</v>
      </c>
      <c r="R55" s="28">
        <f>'FY21 Final Initial $$'!R55/'FY21 FTE'!R$120</f>
        <v>0</v>
      </c>
      <c r="S55" s="28">
        <f>'FY21 Final Initial $$'!S55/'FY21 FTE'!S$120</f>
        <v>1</v>
      </c>
      <c r="T55" s="28">
        <f>'FY21 Final Initial $$'!T55/'FY21 FTE'!T$120</f>
        <v>1</v>
      </c>
      <c r="U55" s="28">
        <f>'FY21 Final Initial $$'!U55/'FY21 FTE'!U$120</f>
        <v>4</v>
      </c>
      <c r="V55" s="28">
        <f>'FY21 Final Initial $$'!V55/'FY21 FTE'!V$120</f>
        <v>1</v>
      </c>
      <c r="W55" s="28">
        <f>'FY21 Final Initial $$'!W55/'FY21 FTE'!W$120</f>
        <v>1</v>
      </c>
      <c r="X55" s="28">
        <f>'FY21 Final Initial $$'!X55/'FY21 FTE'!X$120</f>
        <v>1</v>
      </c>
      <c r="Y55" s="28">
        <f>'FY21 Final Initial $$'!Y55/'FY21 FTE'!Y$120</f>
        <v>1</v>
      </c>
      <c r="Z55" s="28">
        <f>'FY21 Final Initial $$'!Z55/'FY21 FTE'!Z$120</f>
        <v>4.5</v>
      </c>
      <c r="AA55" s="28">
        <f>'FY21 Final Initial $$'!AA55/'FY21 FTE'!AA$120</f>
        <v>0</v>
      </c>
      <c r="AB55" s="28">
        <f>'FY21 Final Initial $$'!AB55/'FY21 FTE'!AB$120</f>
        <v>0</v>
      </c>
      <c r="AC55" s="28">
        <f>'FY21 Final Initial $$'!AC55/'FY21 FTE'!AC$120</f>
        <v>0</v>
      </c>
      <c r="AD55" s="28">
        <f>'FY21 Final Initial $$'!AD55/'FY21 FTE'!AD$120</f>
        <v>0</v>
      </c>
      <c r="AE55" s="28">
        <f>'FY21 Final Initial $$'!AE55/'FY21 FTE'!AE$120</f>
        <v>0</v>
      </c>
      <c r="AF55" s="28">
        <f>'FY21 Final Initial $$'!AF55/'FY21 FTE'!AF$120</f>
        <v>4</v>
      </c>
      <c r="AG55" s="28">
        <f>'FY21 Final Initial $$'!AG55/'FY21 FTE'!AG$120</f>
        <v>4</v>
      </c>
      <c r="AH55" s="28">
        <f>'FY21 Final Initial $$'!AH55/'FY21 FTE'!AH$120</f>
        <v>6</v>
      </c>
      <c r="AI55" s="28">
        <f>'FY21 Final Initial $$'!AI55/'FY21 FTE'!AI$120</f>
        <v>6</v>
      </c>
      <c r="AJ55" s="28">
        <f>'FY21 Final Initial $$'!AJ55/'FY21 FTE'!AJ$120</f>
        <v>7</v>
      </c>
      <c r="AK55" s="28">
        <f>'FY21 Final Initial $$'!AK55/'FY21 FTE'!AK$120</f>
        <v>7</v>
      </c>
      <c r="AL55" s="28">
        <f>'FY21 Final Initial $$'!AL55/'FY21 FTE'!AL$120</f>
        <v>7</v>
      </c>
      <c r="AM55" s="28">
        <f>'FY21 Final Initial $$'!AM55/'FY21 FTE'!AM$120</f>
        <v>6</v>
      </c>
      <c r="AN55" s="28">
        <f>'FY21 Final Initial $$'!AN55/'FY21 FTE'!AN$120</f>
        <v>5.0000000000000062</v>
      </c>
      <c r="AO55" s="28">
        <f>'FY21 Final Initial $$'!AO55/'FY21 FTE'!AO$120</f>
        <v>0</v>
      </c>
      <c r="AP55" s="28">
        <f>'FY21 Final Initial $$'!AP55/'FY21 FTE'!AP$120</f>
        <v>0</v>
      </c>
      <c r="AQ55" s="28">
        <f>'FY21 Final Initial $$'!AQ55/'FY21 FTE'!AQ$120</f>
        <v>0</v>
      </c>
      <c r="AR55" s="28">
        <f>'FY21 Final Initial $$'!AR55/'FY21 FTE'!AR$120</f>
        <v>0</v>
      </c>
      <c r="AS55" s="28">
        <f>'FY21 Final Initial $$'!AS55/'FY21 FTE'!AS$120</f>
        <v>0</v>
      </c>
      <c r="AT55" s="28">
        <f>'FY21 Final Initial $$'!AT55/'FY21 FTE'!AT$120</f>
        <v>0</v>
      </c>
      <c r="AU55" s="28">
        <f>'FY21 Final Initial $$'!AU55/'FY21 FTE'!AU$120</f>
        <v>0</v>
      </c>
      <c r="AV55" s="28">
        <f>'FY21 Final Initial $$'!AV55/'FY21 FTE'!AV$120</f>
        <v>0</v>
      </c>
      <c r="AW55" s="28">
        <f>'FY21 Final Initial $$'!AW55/'FY21 FTE'!AW$120</f>
        <v>0</v>
      </c>
      <c r="AX55" s="28">
        <f>'FY21 Final Initial $$'!AX55/'FY21 FTE'!AX$120</f>
        <v>0</v>
      </c>
      <c r="AY55" s="28">
        <f>'FY21 Final Initial $$'!AY55/'FY21 FTE'!AY$120</f>
        <v>1</v>
      </c>
      <c r="AZ55" s="28">
        <f>'FY21 Final Initial $$'!AZ55/'FY21 FTE'!AZ$120</f>
        <v>3</v>
      </c>
      <c r="BA55" s="28">
        <f>'FY21 Final Initial $$'!BA55/'FY21 FTE'!BA$120</f>
        <v>9</v>
      </c>
      <c r="BB55" s="28">
        <f>'FY21 Final Initial $$'!BB55/'FY21 FTE'!BB$120</f>
        <v>3</v>
      </c>
      <c r="BC55" s="28">
        <f>'FY21 Final Initial $$'!BC55/'FY21 FTE'!BC$120</f>
        <v>0</v>
      </c>
      <c r="BD55" s="28">
        <f>'FY21 Final Initial $$'!BD55/'FY21 FTE'!BD$120</f>
        <v>0</v>
      </c>
      <c r="BE55" s="28">
        <f>'FY21 Final Initial $$'!BE55/'FY21 FTE'!BE$120</f>
        <v>4</v>
      </c>
      <c r="BF55" s="28">
        <f>'FY21 Final Initial $$'!BF55/'FY21 FTE'!BF$120</f>
        <v>0</v>
      </c>
      <c r="BG55" s="28">
        <f>'FY21 Final Initial $$'!BG55/'FY21 FTE'!BG$120</f>
        <v>0</v>
      </c>
      <c r="BH55" s="28">
        <f>'FY21 Final Initial $$'!BH55/'FY21 FTE'!BH$120</f>
        <v>0</v>
      </c>
      <c r="BI55" s="28">
        <f>'FY21 Final Initial $$'!BI55/'FY21 FTE'!BI$120</f>
        <v>0</v>
      </c>
      <c r="BJ55" s="28">
        <f>'FY21 Final Initial $$'!BJ55/'FY21 FTE'!BJ$120</f>
        <v>0</v>
      </c>
      <c r="BK55" s="20">
        <v>0</v>
      </c>
      <c r="BL55" s="20"/>
      <c r="BM55" s="20"/>
      <c r="BN55" s="20">
        <v>0</v>
      </c>
      <c r="BO55" s="20">
        <v>0</v>
      </c>
      <c r="BP55" s="20">
        <v>23500</v>
      </c>
      <c r="BQ55" s="28">
        <f>'FY21 Final Initial $$'!BQ55/'FY21 FTE'!BQ$120</f>
        <v>0</v>
      </c>
      <c r="BR55" s="28">
        <f>'FY21 Final Initial $$'!BR55/'FY21 FTE'!BR$120</f>
        <v>0</v>
      </c>
      <c r="BS55" s="28">
        <f>'FY21 Final Initial $$'!BS55/'FY21 FTE'!BS$120</f>
        <v>0</v>
      </c>
      <c r="BT55" s="28">
        <f>'FY21 Final Initial $$'!BT55/'FY21 FTE'!BT$120</f>
        <v>0</v>
      </c>
      <c r="BU55" s="28">
        <f>'FY21 Final Initial $$'!BU55/'FY21 FTE'!BU$120</f>
        <v>0</v>
      </c>
      <c r="BV55" s="28">
        <f>'FY21 Final Initial $$'!BV55/'FY21 FTE'!BV$120</f>
        <v>0</v>
      </c>
      <c r="BW55" s="28">
        <f>'FY21 Final Initial $$'!BW55/'FY21 FTE'!BW$120</f>
        <v>0</v>
      </c>
      <c r="BX55" s="20">
        <v>0</v>
      </c>
      <c r="BY55" s="20">
        <v>0</v>
      </c>
      <c r="BZ55" s="20">
        <v>0</v>
      </c>
      <c r="CA55" s="20">
        <v>0</v>
      </c>
      <c r="CB55" s="28">
        <f>'FY21 Final Initial $$'!CB55/'FY21 FTE'!CB$120</f>
        <v>0</v>
      </c>
      <c r="CC55" s="28">
        <f>'FY21 Final Initial $$'!CC55/'FY21 FTE'!CC$120</f>
        <v>0</v>
      </c>
      <c r="CD55" s="20">
        <v>0</v>
      </c>
      <c r="CE55" s="28">
        <f>'FY21 Final Initial $$'!CE55/'FY21 FTE'!CE$120</f>
        <v>0</v>
      </c>
      <c r="CF55" s="28">
        <f>'FY21 Final Initial $$'!CF55/'FY21 FTE'!CF$120</f>
        <v>0</v>
      </c>
      <c r="CG55" s="28">
        <f>'FY21 Final Initial $$'!CG55/'FY21 FTE'!CG$120</f>
        <v>0</v>
      </c>
      <c r="CH55" s="28">
        <f>'FY21 Final Initial $$'!CH55/'FY21 FTE'!CH$120</f>
        <v>0</v>
      </c>
      <c r="CI55" s="28">
        <f>'FY21 Final Initial $$'!CI55/'FY21 FTE'!CI$120</f>
        <v>0</v>
      </c>
      <c r="CJ55" s="28">
        <f>'FY21 Final Initial $$'!CJ55/'FY21 FTE'!CJ$120</f>
        <v>0</v>
      </c>
      <c r="CK55" s="28">
        <f>'FY21 Final Initial $$'!CK55/'FY21 FTE'!CK$120</f>
        <v>0</v>
      </c>
      <c r="CL55" s="28">
        <f>'FY21 Final Initial $$'!CL55/'FY21 FTE'!CL$120</f>
        <v>0</v>
      </c>
      <c r="CM55" s="20">
        <v>0</v>
      </c>
      <c r="CN55" s="20">
        <v>0</v>
      </c>
      <c r="CO55" s="20">
        <v>111843.51999999999</v>
      </c>
      <c r="CP55" s="20">
        <v>0</v>
      </c>
      <c r="CQ55" s="28">
        <f>'FY21 Final Initial $$'!CQ55/'FY21 FTE'!CQ$120</f>
        <v>0</v>
      </c>
      <c r="CR55" s="20">
        <v>0</v>
      </c>
      <c r="CS55" s="20">
        <v>0</v>
      </c>
      <c r="CT55" s="20">
        <v>0</v>
      </c>
      <c r="CU55" s="20">
        <v>50089.338509316774</v>
      </c>
      <c r="CV55" s="28">
        <f>'FY21 Final Initial $$'!CV55/'FY21 FTE'!CV$120</f>
        <v>0</v>
      </c>
      <c r="CW55" s="28">
        <f>'FY21 Final Initial $$'!CW55/'FY21 FTE'!CW$120</f>
        <v>0</v>
      </c>
      <c r="CX55" s="20">
        <v>0</v>
      </c>
      <c r="CY55" s="28">
        <f>'FY21 Final Initial $$'!CY55/'FY21 FTE'!CY$120</f>
        <v>0</v>
      </c>
      <c r="CZ55" s="20">
        <v>0</v>
      </c>
      <c r="DA55" s="20">
        <v>0</v>
      </c>
      <c r="DB55" s="20">
        <v>98100</v>
      </c>
      <c r="DC55" s="20">
        <v>148157.86400088543</v>
      </c>
      <c r="DD55" s="20">
        <v>591857.47619256563</v>
      </c>
      <c r="DE55" s="20">
        <v>0</v>
      </c>
      <c r="DF55" s="20">
        <v>0</v>
      </c>
      <c r="DG55" s="20">
        <v>0</v>
      </c>
      <c r="DH55" s="28">
        <f>'FY21 Final Initial $$'!DH55/'FY21 FTE'!DH$120</f>
        <v>0</v>
      </c>
      <c r="DI55" s="20"/>
      <c r="DJ55" s="20">
        <v>4375.0000570435077</v>
      </c>
      <c r="DK55" s="22">
        <v>0</v>
      </c>
      <c r="DL55" s="20">
        <v>0</v>
      </c>
      <c r="DM55" s="20">
        <v>0</v>
      </c>
      <c r="DN55" s="20">
        <v>10230275.000057044</v>
      </c>
      <c r="DO55" s="29">
        <f t="shared" si="1"/>
        <v>10</v>
      </c>
      <c r="DP55" s="29">
        <f t="shared" si="1"/>
        <v>10</v>
      </c>
      <c r="DQ55" s="29">
        <f t="shared" si="2"/>
        <v>32.000000000000007</v>
      </c>
      <c r="DR55" s="29">
        <f t="shared" si="3"/>
        <v>17</v>
      </c>
      <c r="DS55" s="29">
        <f t="shared" si="4"/>
        <v>3</v>
      </c>
    </row>
    <row r="56" spans="1:123" x14ac:dyDescent="0.25">
      <c r="A56" s="18">
        <v>262</v>
      </c>
      <c r="B56" t="s">
        <v>196</v>
      </c>
      <c r="C56" t="s">
        <v>135</v>
      </c>
      <c r="D56">
        <v>5</v>
      </c>
      <c r="E56">
        <v>419</v>
      </c>
      <c r="F56" s="19">
        <f t="shared" si="0"/>
        <v>0.50835322195704058</v>
      </c>
      <c r="G56">
        <v>213</v>
      </c>
      <c r="H56" s="28">
        <f>'FY21 Final Initial $$'!H56/'FY21 FTE'!H$120</f>
        <v>1</v>
      </c>
      <c r="I56" s="28">
        <f>'FY21 Final Initial $$'!I56/'FY21 FTE'!I$120</f>
        <v>1</v>
      </c>
      <c r="J56" s="28">
        <f>'FY21 Final Initial $$'!J56/'FY21 FTE'!J$120</f>
        <v>1</v>
      </c>
      <c r="K56" s="28">
        <f>'FY21 Final Initial $$'!K56/'FY21 FTE'!K$120</f>
        <v>0</v>
      </c>
      <c r="L56" s="28">
        <f>'FY21 Final Initial $$'!L56/'FY21 FTE'!L$120</f>
        <v>0</v>
      </c>
      <c r="M56" s="28">
        <f>'FY21 Final Initial $$'!M56/'FY21 FTE'!M$120</f>
        <v>1</v>
      </c>
      <c r="N56" s="28">
        <f>'FY21 Final Initial $$'!N56/'FY21 FTE'!N$120</f>
        <v>1</v>
      </c>
      <c r="O56" s="28">
        <f>'FY21 Final Initial $$'!O56/'FY21 FTE'!O$120</f>
        <v>1</v>
      </c>
      <c r="P56" s="28">
        <f>'FY21 Final Initial $$'!P56/'FY21 FTE'!P$120</f>
        <v>0</v>
      </c>
      <c r="Q56" s="28">
        <f>'FY21 Final Initial $$'!Q56/'FY21 FTE'!Q$120</f>
        <v>0</v>
      </c>
      <c r="R56" s="28">
        <f>'FY21 Final Initial $$'!R56/'FY21 FTE'!R$120</f>
        <v>0</v>
      </c>
      <c r="S56" s="28">
        <f>'FY21 Final Initial $$'!S56/'FY21 FTE'!S$120</f>
        <v>1</v>
      </c>
      <c r="T56" s="28">
        <f>'FY21 Final Initial $$'!T56/'FY21 FTE'!T$120</f>
        <v>1</v>
      </c>
      <c r="U56" s="28">
        <f>'FY21 Final Initial $$'!U56/'FY21 FTE'!U$120</f>
        <v>3</v>
      </c>
      <c r="V56" s="28">
        <f>'FY21 Final Initial $$'!V56/'FY21 FTE'!V$120</f>
        <v>1</v>
      </c>
      <c r="W56" s="28">
        <f>'FY21 Final Initial $$'!W56/'FY21 FTE'!W$120</f>
        <v>1</v>
      </c>
      <c r="X56" s="28">
        <f>'FY21 Final Initial $$'!X56/'FY21 FTE'!X$120</f>
        <v>1</v>
      </c>
      <c r="Y56" s="28">
        <f>'FY21 Final Initial $$'!Y56/'FY21 FTE'!Y$120</f>
        <v>1</v>
      </c>
      <c r="Z56" s="28">
        <f>'FY21 Final Initial $$'!Z56/'FY21 FTE'!Z$120</f>
        <v>1.5</v>
      </c>
      <c r="AA56" s="28">
        <f>'FY21 Final Initial $$'!AA56/'FY21 FTE'!AA$120</f>
        <v>0</v>
      </c>
      <c r="AB56" s="28">
        <f>'FY21 Final Initial $$'!AB56/'FY21 FTE'!AB$120</f>
        <v>1</v>
      </c>
      <c r="AC56" s="28">
        <f>'FY21 Final Initial $$'!AC56/'FY21 FTE'!AC$120</f>
        <v>1</v>
      </c>
      <c r="AD56" s="28">
        <f>'FY21 Final Initial $$'!AD56/'FY21 FTE'!AD$120</f>
        <v>3</v>
      </c>
      <c r="AE56" s="28">
        <f>'FY21 Final Initial $$'!AE56/'FY21 FTE'!AE$120</f>
        <v>3</v>
      </c>
      <c r="AF56" s="28">
        <f>'FY21 Final Initial $$'!AF56/'FY21 FTE'!AF$120</f>
        <v>1</v>
      </c>
      <c r="AG56" s="28">
        <f>'FY21 Final Initial $$'!AG56/'FY21 FTE'!AG$120</f>
        <v>1</v>
      </c>
      <c r="AH56" s="28">
        <f>'FY21 Final Initial $$'!AH56/'FY21 FTE'!AH$120</f>
        <v>4</v>
      </c>
      <c r="AI56" s="28">
        <f>'FY21 Final Initial $$'!AI56/'FY21 FTE'!AI$120</f>
        <v>4</v>
      </c>
      <c r="AJ56" s="28">
        <f>'FY21 Final Initial $$'!AJ56/'FY21 FTE'!AJ$120</f>
        <v>3</v>
      </c>
      <c r="AK56" s="28">
        <f>'FY21 Final Initial $$'!AK56/'FY21 FTE'!AK$120</f>
        <v>2</v>
      </c>
      <c r="AL56" s="28">
        <f>'FY21 Final Initial $$'!AL56/'FY21 FTE'!AL$120</f>
        <v>3</v>
      </c>
      <c r="AM56" s="28">
        <f>'FY21 Final Initial $$'!AM56/'FY21 FTE'!AM$120</f>
        <v>2</v>
      </c>
      <c r="AN56" s="28">
        <f>'FY21 Final Initial $$'!AN56/'FY21 FTE'!AN$120</f>
        <v>2.0000000000000027</v>
      </c>
      <c r="AO56" s="28">
        <f>'FY21 Final Initial $$'!AO56/'FY21 FTE'!AO$120</f>
        <v>0</v>
      </c>
      <c r="AP56" s="28">
        <f>'FY21 Final Initial $$'!AP56/'FY21 FTE'!AP$120</f>
        <v>0</v>
      </c>
      <c r="AQ56" s="28">
        <f>'FY21 Final Initial $$'!AQ56/'FY21 FTE'!AQ$120</f>
        <v>0</v>
      </c>
      <c r="AR56" s="28">
        <f>'FY21 Final Initial $$'!AR56/'FY21 FTE'!AR$120</f>
        <v>0</v>
      </c>
      <c r="AS56" s="28">
        <f>'FY21 Final Initial $$'!AS56/'FY21 FTE'!AS$120</f>
        <v>0</v>
      </c>
      <c r="AT56" s="28">
        <f>'FY21 Final Initial $$'!AT56/'FY21 FTE'!AT$120</f>
        <v>0</v>
      </c>
      <c r="AU56" s="28">
        <f>'FY21 Final Initial $$'!AU56/'FY21 FTE'!AU$120</f>
        <v>0</v>
      </c>
      <c r="AV56" s="28">
        <f>'FY21 Final Initial $$'!AV56/'FY21 FTE'!AV$120</f>
        <v>0</v>
      </c>
      <c r="AW56" s="28">
        <f>'FY21 Final Initial $$'!AW56/'FY21 FTE'!AW$120</f>
        <v>0</v>
      </c>
      <c r="AX56" s="28">
        <f>'FY21 Final Initial $$'!AX56/'FY21 FTE'!AX$120</f>
        <v>0</v>
      </c>
      <c r="AY56" s="28">
        <f>'FY21 Final Initial $$'!AY56/'FY21 FTE'!AY$120</f>
        <v>1</v>
      </c>
      <c r="AZ56" s="28">
        <f>'FY21 Final Initial $$'!AZ56/'FY21 FTE'!AZ$120</f>
        <v>1</v>
      </c>
      <c r="BA56" s="28">
        <f>'FY21 Final Initial $$'!BA56/'FY21 FTE'!BA$120</f>
        <v>6</v>
      </c>
      <c r="BB56" s="28">
        <f>'FY21 Final Initial $$'!BB56/'FY21 FTE'!BB$120</f>
        <v>6</v>
      </c>
      <c r="BC56" s="28">
        <f>'FY21 Final Initial $$'!BC56/'FY21 FTE'!BC$120</f>
        <v>0</v>
      </c>
      <c r="BD56" s="28">
        <f>'FY21 Final Initial $$'!BD56/'FY21 FTE'!BD$120</f>
        <v>0</v>
      </c>
      <c r="BE56" s="28">
        <f>'FY21 Final Initial $$'!BE56/'FY21 FTE'!BE$120</f>
        <v>1</v>
      </c>
      <c r="BF56" s="28">
        <f>'FY21 Final Initial $$'!BF56/'FY21 FTE'!BF$120</f>
        <v>0</v>
      </c>
      <c r="BG56" s="28">
        <f>'FY21 Final Initial $$'!BG56/'FY21 FTE'!BG$120</f>
        <v>0</v>
      </c>
      <c r="BH56" s="28">
        <f>'FY21 Final Initial $$'!BH56/'FY21 FTE'!BH$120</f>
        <v>4</v>
      </c>
      <c r="BI56" s="28">
        <f>'FY21 Final Initial $$'!BI56/'FY21 FTE'!BI$120</f>
        <v>4</v>
      </c>
      <c r="BJ56" s="28">
        <f>'FY21 Final Initial $$'!BJ56/'FY21 FTE'!BJ$120</f>
        <v>0</v>
      </c>
      <c r="BK56" s="20">
        <v>0</v>
      </c>
      <c r="BL56" s="20"/>
      <c r="BM56" s="20"/>
      <c r="BN56" s="20">
        <v>157258.51999999999</v>
      </c>
      <c r="BO56" s="20">
        <v>2601.67</v>
      </c>
      <c r="BP56" s="20">
        <v>0</v>
      </c>
      <c r="BQ56" s="28">
        <f>'FY21 Final Initial $$'!BQ56/'FY21 FTE'!BQ$120</f>
        <v>0</v>
      </c>
      <c r="BR56" s="28">
        <f>'FY21 Final Initial $$'!BR56/'FY21 FTE'!BR$120</f>
        <v>0</v>
      </c>
      <c r="BS56" s="28">
        <f>'FY21 Final Initial $$'!BS56/'FY21 FTE'!BS$120</f>
        <v>0</v>
      </c>
      <c r="BT56" s="28">
        <f>'FY21 Final Initial $$'!BT56/'FY21 FTE'!BT$120</f>
        <v>0</v>
      </c>
      <c r="BU56" s="28">
        <f>'FY21 Final Initial $$'!BU56/'FY21 FTE'!BU$120</f>
        <v>0</v>
      </c>
      <c r="BV56" s="28">
        <f>'FY21 Final Initial $$'!BV56/'FY21 FTE'!BV$120</f>
        <v>0</v>
      </c>
      <c r="BW56" s="28">
        <f>'FY21 Final Initial $$'!BW56/'FY21 FTE'!BW$120</f>
        <v>0</v>
      </c>
      <c r="BX56" s="20">
        <v>0</v>
      </c>
      <c r="BY56" s="20">
        <v>0</v>
      </c>
      <c r="BZ56" s="20">
        <v>0</v>
      </c>
      <c r="CA56" s="20">
        <v>0</v>
      </c>
      <c r="CB56" s="28">
        <f>'FY21 Final Initial $$'!CB56/'FY21 FTE'!CB$120</f>
        <v>0</v>
      </c>
      <c r="CC56" s="28">
        <f>'FY21 Final Initial $$'!CC56/'FY21 FTE'!CC$120</f>
        <v>0</v>
      </c>
      <c r="CD56" s="20">
        <v>0</v>
      </c>
      <c r="CE56" s="28">
        <f>'FY21 Final Initial $$'!CE56/'FY21 FTE'!CE$120</f>
        <v>0</v>
      </c>
      <c r="CF56" s="28">
        <f>'FY21 Final Initial $$'!CF56/'FY21 FTE'!CF$120</f>
        <v>0</v>
      </c>
      <c r="CG56" s="28">
        <f>'FY21 Final Initial $$'!CG56/'FY21 FTE'!CG$120</f>
        <v>0</v>
      </c>
      <c r="CH56" s="28">
        <f>'FY21 Final Initial $$'!CH56/'FY21 FTE'!CH$120</f>
        <v>0</v>
      </c>
      <c r="CI56" s="28">
        <f>'FY21 Final Initial $$'!CI56/'FY21 FTE'!CI$120</f>
        <v>0</v>
      </c>
      <c r="CJ56" s="28">
        <f>'FY21 Final Initial $$'!CJ56/'FY21 FTE'!CJ$120</f>
        <v>0</v>
      </c>
      <c r="CK56" s="28">
        <f>'FY21 Final Initial $$'!CK56/'FY21 FTE'!CK$120</f>
        <v>0</v>
      </c>
      <c r="CL56" s="28">
        <f>'FY21 Final Initial $$'!CL56/'FY21 FTE'!CL$120</f>
        <v>0</v>
      </c>
      <c r="CM56" s="20">
        <v>0</v>
      </c>
      <c r="CN56" s="20">
        <v>0</v>
      </c>
      <c r="CO56" s="20">
        <v>55921.759999999995</v>
      </c>
      <c r="CP56" s="20">
        <v>0</v>
      </c>
      <c r="CQ56" s="28">
        <f>'FY21 Final Initial $$'!CQ56/'FY21 FTE'!CQ$120</f>
        <v>0</v>
      </c>
      <c r="CR56" s="20">
        <v>0</v>
      </c>
      <c r="CS56" s="20">
        <v>4260</v>
      </c>
      <c r="CT56" s="20">
        <v>0</v>
      </c>
      <c r="CU56" s="20">
        <v>24093.16</v>
      </c>
      <c r="CV56" s="28">
        <f>'FY21 Final Initial $$'!CV56/'FY21 FTE'!CV$120</f>
        <v>0</v>
      </c>
      <c r="CW56" s="28">
        <f>'FY21 Final Initial $$'!CW56/'FY21 FTE'!CW$120</f>
        <v>0</v>
      </c>
      <c r="CX56" s="20">
        <v>0</v>
      </c>
      <c r="CY56" s="28">
        <f>'FY21 Final Initial $$'!CY56/'FY21 FTE'!CY$120</f>
        <v>0</v>
      </c>
      <c r="CZ56" s="20">
        <v>0</v>
      </c>
      <c r="DA56" s="20">
        <v>0</v>
      </c>
      <c r="DB56" s="20">
        <v>41900</v>
      </c>
      <c r="DC56" s="20">
        <v>86526.523384295971</v>
      </c>
      <c r="DD56" s="20">
        <v>0</v>
      </c>
      <c r="DE56" s="20">
        <v>0</v>
      </c>
      <c r="DF56" s="20">
        <v>0</v>
      </c>
      <c r="DG56" s="20">
        <v>0</v>
      </c>
      <c r="DH56" s="28">
        <f>'FY21 Final Initial $$'!DH56/'FY21 FTE'!DH$120</f>
        <v>0</v>
      </c>
      <c r="DI56" s="20"/>
      <c r="DJ56" s="20">
        <v>13750.000512227416</v>
      </c>
      <c r="DK56" s="22">
        <v>0</v>
      </c>
      <c r="DL56" s="20">
        <v>0</v>
      </c>
      <c r="DM56" s="20">
        <v>0</v>
      </c>
      <c r="DN56" s="20">
        <v>5846549.8565236032</v>
      </c>
      <c r="DO56" s="29">
        <f t="shared" si="1"/>
        <v>9</v>
      </c>
      <c r="DP56" s="29">
        <f t="shared" si="1"/>
        <v>9</v>
      </c>
      <c r="DQ56" s="29">
        <f t="shared" si="2"/>
        <v>12.000000000000004</v>
      </c>
      <c r="DR56" s="29">
        <f t="shared" si="3"/>
        <v>9</v>
      </c>
      <c r="DS56" s="29">
        <f t="shared" si="4"/>
        <v>6</v>
      </c>
    </row>
    <row r="57" spans="1:123" x14ac:dyDescent="0.25">
      <c r="A57" s="18">
        <v>370</v>
      </c>
      <c r="B57" t="s">
        <v>197</v>
      </c>
      <c r="C57" t="s">
        <v>135</v>
      </c>
      <c r="D57">
        <v>5</v>
      </c>
      <c r="E57">
        <v>317</v>
      </c>
      <c r="F57" s="19">
        <f t="shared" si="0"/>
        <v>0.58990536277602523</v>
      </c>
      <c r="G57">
        <v>187</v>
      </c>
      <c r="H57" s="28">
        <f>'FY21 Final Initial $$'!H57/'FY21 FTE'!H$120</f>
        <v>1</v>
      </c>
      <c r="I57" s="28">
        <f>'FY21 Final Initial $$'!I57/'FY21 FTE'!I$120</f>
        <v>1</v>
      </c>
      <c r="J57" s="28">
        <f>'FY21 Final Initial $$'!J57/'FY21 FTE'!J$120</f>
        <v>0.8</v>
      </c>
      <c r="K57" s="28">
        <f>'FY21 Final Initial $$'!K57/'FY21 FTE'!K$120</f>
        <v>0</v>
      </c>
      <c r="L57" s="28">
        <f>'FY21 Final Initial $$'!L57/'FY21 FTE'!L$120</f>
        <v>0</v>
      </c>
      <c r="M57" s="28">
        <f>'FY21 Final Initial $$'!M57/'FY21 FTE'!M$120</f>
        <v>1</v>
      </c>
      <c r="N57" s="28">
        <f>'FY21 Final Initial $$'!N57/'FY21 FTE'!N$120</f>
        <v>1</v>
      </c>
      <c r="O57" s="28">
        <f>'FY21 Final Initial $$'!O57/'FY21 FTE'!O$120</f>
        <v>0</v>
      </c>
      <c r="P57" s="28">
        <f>'FY21 Final Initial $$'!P57/'FY21 FTE'!P$120</f>
        <v>0</v>
      </c>
      <c r="Q57" s="28">
        <f>'FY21 Final Initial $$'!Q57/'FY21 FTE'!Q$120</f>
        <v>0</v>
      </c>
      <c r="R57" s="28">
        <f>'FY21 Final Initial $$'!R57/'FY21 FTE'!R$120</f>
        <v>0</v>
      </c>
      <c r="S57" s="28">
        <f>'FY21 Final Initial $$'!S57/'FY21 FTE'!S$120</f>
        <v>1</v>
      </c>
      <c r="T57" s="28">
        <f>'FY21 Final Initial $$'!T57/'FY21 FTE'!T$120</f>
        <v>1</v>
      </c>
      <c r="U57" s="28">
        <f>'FY21 Final Initial $$'!U57/'FY21 FTE'!U$120</f>
        <v>2</v>
      </c>
      <c r="V57" s="28">
        <f>'FY21 Final Initial $$'!V57/'FY21 FTE'!V$120</f>
        <v>1</v>
      </c>
      <c r="W57" s="28">
        <f>'FY21 Final Initial $$'!W57/'FY21 FTE'!W$120</f>
        <v>1</v>
      </c>
      <c r="X57" s="28">
        <f>'FY21 Final Initial $$'!X57/'FY21 FTE'!X$120</f>
        <v>1</v>
      </c>
      <c r="Y57" s="28">
        <f>'FY21 Final Initial $$'!Y57/'FY21 FTE'!Y$120</f>
        <v>1</v>
      </c>
      <c r="Z57" s="28">
        <f>'FY21 Final Initial $$'!Z57/'FY21 FTE'!Z$120</f>
        <v>0</v>
      </c>
      <c r="AA57" s="28">
        <f>'FY21 Final Initial $$'!AA57/'FY21 FTE'!AA$120</f>
        <v>0</v>
      </c>
      <c r="AB57" s="28">
        <f>'FY21 Final Initial $$'!AB57/'FY21 FTE'!AB$120</f>
        <v>3</v>
      </c>
      <c r="AC57" s="28">
        <f>'FY21 Final Initial $$'!AC57/'FY21 FTE'!AC$120</f>
        <v>3</v>
      </c>
      <c r="AD57" s="28">
        <f>'FY21 Final Initial $$'!AD57/'FY21 FTE'!AD$120</f>
        <v>0</v>
      </c>
      <c r="AE57" s="28">
        <f>'FY21 Final Initial $$'!AE57/'FY21 FTE'!AE$120</f>
        <v>0</v>
      </c>
      <c r="AF57" s="28">
        <f>'FY21 Final Initial $$'!AF57/'FY21 FTE'!AF$120</f>
        <v>2</v>
      </c>
      <c r="AG57" s="28">
        <f>'FY21 Final Initial $$'!AG57/'FY21 FTE'!AG$120</f>
        <v>2</v>
      </c>
      <c r="AH57" s="28">
        <f>'FY21 Final Initial $$'!AH57/'FY21 FTE'!AH$120</f>
        <v>2</v>
      </c>
      <c r="AI57" s="28">
        <f>'FY21 Final Initial $$'!AI57/'FY21 FTE'!AI$120</f>
        <v>2</v>
      </c>
      <c r="AJ57" s="28">
        <f>'FY21 Final Initial $$'!AJ57/'FY21 FTE'!AJ$120</f>
        <v>2</v>
      </c>
      <c r="AK57" s="28">
        <f>'FY21 Final Initial $$'!AK57/'FY21 FTE'!AK$120</f>
        <v>1</v>
      </c>
      <c r="AL57" s="28">
        <f>'FY21 Final Initial $$'!AL57/'FY21 FTE'!AL$120</f>
        <v>2</v>
      </c>
      <c r="AM57" s="28">
        <f>'FY21 Final Initial $$'!AM57/'FY21 FTE'!AM$120</f>
        <v>2</v>
      </c>
      <c r="AN57" s="28">
        <f>'FY21 Final Initial $$'!AN57/'FY21 FTE'!AN$120</f>
        <v>2.0000000000000027</v>
      </c>
      <c r="AO57" s="28">
        <f>'FY21 Final Initial $$'!AO57/'FY21 FTE'!AO$120</f>
        <v>0</v>
      </c>
      <c r="AP57" s="28">
        <f>'FY21 Final Initial $$'!AP57/'FY21 FTE'!AP$120</f>
        <v>0</v>
      </c>
      <c r="AQ57" s="28">
        <f>'FY21 Final Initial $$'!AQ57/'FY21 FTE'!AQ$120</f>
        <v>0</v>
      </c>
      <c r="AR57" s="28">
        <f>'FY21 Final Initial $$'!AR57/'FY21 FTE'!AR$120</f>
        <v>0</v>
      </c>
      <c r="AS57" s="28">
        <f>'FY21 Final Initial $$'!AS57/'FY21 FTE'!AS$120</f>
        <v>0</v>
      </c>
      <c r="AT57" s="28">
        <f>'FY21 Final Initial $$'!AT57/'FY21 FTE'!AT$120</f>
        <v>0</v>
      </c>
      <c r="AU57" s="28">
        <f>'FY21 Final Initial $$'!AU57/'FY21 FTE'!AU$120</f>
        <v>0</v>
      </c>
      <c r="AV57" s="28">
        <f>'FY21 Final Initial $$'!AV57/'FY21 FTE'!AV$120</f>
        <v>0</v>
      </c>
      <c r="AW57" s="28">
        <f>'FY21 Final Initial $$'!AW57/'FY21 FTE'!AW$120</f>
        <v>0</v>
      </c>
      <c r="AX57" s="28">
        <f>'FY21 Final Initial $$'!AX57/'FY21 FTE'!AX$120</f>
        <v>0</v>
      </c>
      <c r="AY57" s="28">
        <f>'FY21 Final Initial $$'!AY57/'FY21 FTE'!AY$120</f>
        <v>1</v>
      </c>
      <c r="AZ57" s="28">
        <f>'FY21 Final Initial $$'!AZ57/'FY21 FTE'!AZ$120</f>
        <v>3</v>
      </c>
      <c r="BA57" s="28">
        <f>'FY21 Final Initial $$'!BA57/'FY21 FTE'!BA$120</f>
        <v>10</v>
      </c>
      <c r="BB57" s="28">
        <f>'FY21 Final Initial $$'!BB57/'FY21 FTE'!BB$120</f>
        <v>10</v>
      </c>
      <c r="BC57" s="28">
        <f>'FY21 Final Initial $$'!BC57/'FY21 FTE'!BC$120</f>
        <v>2</v>
      </c>
      <c r="BD57" s="28">
        <f>'FY21 Final Initial $$'!BD57/'FY21 FTE'!BD$120</f>
        <v>1</v>
      </c>
      <c r="BE57" s="28">
        <f>'FY21 Final Initial $$'!BE57/'FY21 FTE'!BE$120</f>
        <v>2</v>
      </c>
      <c r="BF57" s="28">
        <f>'FY21 Final Initial $$'!BF57/'FY21 FTE'!BF$120</f>
        <v>0</v>
      </c>
      <c r="BG57" s="28">
        <f>'FY21 Final Initial $$'!BG57/'FY21 FTE'!BG$120</f>
        <v>0</v>
      </c>
      <c r="BH57" s="28">
        <f>'FY21 Final Initial $$'!BH57/'FY21 FTE'!BH$120</f>
        <v>3</v>
      </c>
      <c r="BI57" s="28">
        <f>'FY21 Final Initial $$'!BI57/'FY21 FTE'!BI$120</f>
        <v>3</v>
      </c>
      <c r="BJ57" s="28">
        <f>'FY21 Final Initial $$'!BJ57/'FY21 FTE'!BJ$120</f>
        <v>1</v>
      </c>
      <c r="BK57" s="20">
        <v>0</v>
      </c>
      <c r="BL57" s="20"/>
      <c r="BM57" s="20"/>
      <c r="BN57" s="20">
        <v>131261.85</v>
      </c>
      <c r="BO57" s="20">
        <v>2171.58</v>
      </c>
      <c r="BP57" s="20">
        <v>0</v>
      </c>
      <c r="BQ57" s="28">
        <f>'FY21 Final Initial $$'!BQ57/'FY21 FTE'!BQ$120</f>
        <v>0</v>
      </c>
      <c r="BR57" s="28">
        <f>'FY21 Final Initial $$'!BR57/'FY21 FTE'!BR$120</f>
        <v>0</v>
      </c>
      <c r="BS57" s="28">
        <f>'FY21 Final Initial $$'!BS57/'FY21 FTE'!BS$120</f>
        <v>0</v>
      </c>
      <c r="BT57" s="28">
        <f>'FY21 Final Initial $$'!BT57/'FY21 FTE'!BT$120</f>
        <v>0</v>
      </c>
      <c r="BU57" s="28">
        <f>'FY21 Final Initial $$'!BU57/'FY21 FTE'!BU$120</f>
        <v>1</v>
      </c>
      <c r="BV57" s="28">
        <f>'FY21 Final Initial $$'!BV57/'FY21 FTE'!BV$120</f>
        <v>0</v>
      </c>
      <c r="BW57" s="28">
        <f>'FY21 Final Initial $$'!BW57/'FY21 FTE'!BW$120</f>
        <v>0</v>
      </c>
      <c r="BX57" s="20">
        <v>0</v>
      </c>
      <c r="BY57" s="20">
        <v>0</v>
      </c>
      <c r="BZ57" s="20">
        <v>0</v>
      </c>
      <c r="CA57" s="20">
        <v>0</v>
      </c>
      <c r="CB57" s="28">
        <f>'FY21 Final Initial $$'!CB57/'FY21 FTE'!CB$120</f>
        <v>0</v>
      </c>
      <c r="CC57" s="28">
        <f>'FY21 Final Initial $$'!CC57/'FY21 FTE'!CC$120</f>
        <v>0</v>
      </c>
      <c r="CD57" s="20">
        <v>0</v>
      </c>
      <c r="CE57" s="28">
        <f>'FY21 Final Initial $$'!CE57/'FY21 FTE'!CE$120</f>
        <v>0</v>
      </c>
      <c r="CF57" s="28">
        <f>'FY21 Final Initial $$'!CF57/'FY21 FTE'!CF$120</f>
        <v>0</v>
      </c>
      <c r="CG57" s="28">
        <f>'FY21 Final Initial $$'!CG57/'FY21 FTE'!CG$120</f>
        <v>0</v>
      </c>
      <c r="CH57" s="28">
        <f>'FY21 Final Initial $$'!CH57/'FY21 FTE'!CH$120</f>
        <v>0</v>
      </c>
      <c r="CI57" s="28">
        <f>'FY21 Final Initial $$'!CI57/'FY21 FTE'!CI$120</f>
        <v>0</v>
      </c>
      <c r="CJ57" s="28">
        <f>'FY21 Final Initial $$'!CJ57/'FY21 FTE'!CJ$120</f>
        <v>0</v>
      </c>
      <c r="CK57" s="28">
        <f>'FY21 Final Initial $$'!CK57/'FY21 FTE'!CK$120</f>
        <v>0</v>
      </c>
      <c r="CL57" s="28">
        <f>'FY21 Final Initial $$'!CL57/'FY21 FTE'!CL$120</f>
        <v>0</v>
      </c>
      <c r="CM57" s="20">
        <v>0</v>
      </c>
      <c r="CN57" s="20">
        <v>0</v>
      </c>
      <c r="CO57" s="20">
        <v>55921.759999999995</v>
      </c>
      <c r="CP57" s="20">
        <v>0</v>
      </c>
      <c r="CQ57" s="28">
        <f>'FY21 Final Initial $$'!CQ57/'FY21 FTE'!CQ$120</f>
        <v>0</v>
      </c>
      <c r="CR57" s="20">
        <v>0</v>
      </c>
      <c r="CS57" s="20">
        <v>3740</v>
      </c>
      <c r="CT57" s="20">
        <v>0</v>
      </c>
      <c r="CU57" s="20">
        <v>18413.062264150944</v>
      </c>
      <c r="CV57" s="28">
        <f>'FY21 Final Initial $$'!CV57/'FY21 FTE'!CV$120</f>
        <v>0</v>
      </c>
      <c r="CW57" s="28">
        <f>'FY21 Final Initial $$'!CW57/'FY21 FTE'!CW$120</f>
        <v>0</v>
      </c>
      <c r="CX57" s="20">
        <v>0</v>
      </c>
      <c r="CY57" s="28">
        <f>'FY21 Final Initial $$'!CY57/'FY21 FTE'!CY$120</f>
        <v>0</v>
      </c>
      <c r="CZ57" s="20">
        <v>0</v>
      </c>
      <c r="DA57" s="20">
        <v>0</v>
      </c>
      <c r="DB57" s="20">
        <v>31700</v>
      </c>
      <c r="DC57" s="20">
        <v>89873.364630260447</v>
      </c>
      <c r="DD57" s="20">
        <v>0</v>
      </c>
      <c r="DE57" s="20">
        <v>134050</v>
      </c>
      <c r="DF57" s="20">
        <v>0</v>
      </c>
      <c r="DG57" s="20">
        <v>0</v>
      </c>
      <c r="DH57" s="28">
        <f>'FY21 Final Initial $$'!DH57/'FY21 FTE'!DH$120</f>
        <v>0</v>
      </c>
      <c r="DI57" s="20"/>
      <c r="DJ57" s="20">
        <v>16899.999598041177</v>
      </c>
      <c r="DK57" s="22">
        <v>0</v>
      </c>
      <c r="DL57" s="20">
        <v>0</v>
      </c>
      <c r="DM57" s="20">
        <v>0</v>
      </c>
      <c r="DN57" s="20">
        <v>6245139.4480670048</v>
      </c>
      <c r="DO57" s="29">
        <f t="shared" si="1"/>
        <v>7</v>
      </c>
      <c r="DP57" s="29">
        <f t="shared" si="1"/>
        <v>7</v>
      </c>
      <c r="DQ57" s="29">
        <f t="shared" si="2"/>
        <v>9.0000000000000036</v>
      </c>
      <c r="DR57" s="29">
        <f t="shared" si="3"/>
        <v>16</v>
      </c>
      <c r="DS57" s="29">
        <f t="shared" si="4"/>
        <v>10</v>
      </c>
    </row>
    <row r="58" spans="1:123" x14ac:dyDescent="0.25">
      <c r="A58" s="18">
        <v>264</v>
      </c>
      <c r="B58" t="s">
        <v>198</v>
      </c>
      <c r="C58" t="s">
        <v>150</v>
      </c>
      <c r="D58">
        <v>4</v>
      </c>
      <c r="E58">
        <v>347</v>
      </c>
      <c r="F58" s="19">
        <f t="shared" si="0"/>
        <v>0.56484149855907784</v>
      </c>
      <c r="G58">
        <v>196</v>
      </c>
      <c r="H58" s="28">
        <f>'FY21 Final Initial $$'!H58/'FY21 FTE'!H$120</f>
        <v>1</v>
      </c>
      <c r="I58" s="28">
        <f>'FY21 Final Initial $$'!I58/'FY21 FTE'!I$120</f>
        <v>1</v>
      </c>
      <c r="J58" s="28">
        <f>'FY21 Final Initial $$'!J58/'FY21 FTE'!J$120</f>
        <v>0.89999999999999991</v>
      </c>
      <c r="K58" s="28">
        <f>'FY21 Final Initial $$'!K58/'FY21 FTE'!K$120</f>
        <v>1</v>
      </c>
      <c r="L58" s="28">
        <f>'FY21 Final Initial $$'!L58/'FY21 FTE'!L$120</f>
        <v>0</v>
      </c>
      <c r="M58" s="28">
        <f>'FY21 Final Initial $$'!M58/'FY21 FTE'!M$120</f>
        <v>1</v>
      </c>
      <c r="N58" s="28">
        <f>'FY21 Final Initial $$'!N58/'FY21 FTE'!N$120</f>
        <v>1</v>
      </c>
      <c r="O58" s="28">
        <f>'FY21 Final Initial $$'!O58/'FY21 FTE'!O$120</f>
        <v>0</v>
      </c>
      <c r="P58" s="28">
        <f>'FY21 Final Initial $$'!P58/'FY21 FTE'!P$120</f>
        <v>0</v>
      </c>
      <c r="Q58" s="28">
        <f>'FY21 Final Initial $$'!Q58/'FY21 FTE'!Q$120</f>
        <v>0</v>
      </c>
      <c r="R58" s="28">
        <f>'FY21 Final Initial $$'!R58/'FY21 FTE'!R$120</f>
        <v>0</v>
      </c>
      <c r="S58" s="28">
        <f>'FY21 Final Initial $$'!S58/'FY21 FTE'!S$120</f>
        <v>1</v>
      </c>
      <c r="T58" s="28">
        <f>'FY21 Final Initial $$'!T58/'FY21 FTE'!T$120</f>
        <v>1</v>
      </c>
      <c r="U58" s="28">
        <f>'FY21 Final Initial $$'!U58/'FY21 FTE'!U$120</f>
        <v>2</v>
      </c>
      <c r="V58" s="28">
        <f>'FY21 Final Initial $$'!V58/'FY21 FTE'!V$120</f>
        <v>1</v>
      </c>
      <c r="W58" s="28">
        <f>'FY21 Final Initial $$'!W58/'FY21 FTE'!W$120</f>
        <v>1</v>
      </c>
      <c r="X58" s="28">
        <f>'FY21 Final Initial $$'!X58/'FY21 FTE'!X$120</f>
        <v>1</v>
      </c>
      <c r="Y58" s="28">
        <f>'FY21 Final Initial $$'!Y58/'FY21 FTE'!Y$120</f>
        <v>1</v>
      </c>
      <c r="Z58" s="28">
        <f>'FY21 Final Initial $$'!Z58/'FY21 FTE'!Z$120</f>
        <v>0</v>
      </c>
      <c r="AA58" s="28">
        <f>'FY21 Final Initial $$'!AA58/'FY21 FTE'!AA$120</f>
        <v>0</v>
      </c>
      <c r="AB58" s="28">
        <f>'FY21 Final Initial $$'!AB58/'FY21 FTE'!AB$120</f>
        <v>1</v>
      </c>
      <c r="AC58" s="28">
        <f>'FY21 Final Initial $$'!AC58/'FY21 FTE'!AC$120</f>
        <v>1</v>
      </c>
      <c r="AD58" s="28">
        <f>'FY21 Final Initial $$'!AD58/'FY21 FTE'!AD$120</f>
        <v>2</v>
      </c>
      <c r="AE58" s="28">
        <f>'FY21 Final Initial $$'!AE58/'FY21 FTE'!AE$120</f>
        <v>2</v>
      </c>
      <c r="AF58" s="28">
        <f>'FY21 Final Initial $$'!AF58/'FY21 FTE'!AF$120</f>
        <v>1</v>
      </c>
      <c r="AG58" s="28">
        <f>'FY21 Final Initial $$'!AG58/'FY21 FTE'!AG$120</f>
        <v>1</v>
      </c>
      <c r="AH58" s="28">
        <f>'FY21 Final Initial $$'!AH58/'FY21 FTE'!AH$120</f>
        <v>2</v>
      </c>
      <c r="AI58" s="28">
        <f>'FY21 Final Initial $$'!AI58/'FY21 FTE'!AI$120</f>
        <v>2</v>
      </c>
      <c r="AJ58" s="28">
        <f>'FY21 Final Initial $$'!AJ58/'FY21 FTE'!AJ$120</f>
        <v>2</v>
      </c>
      <c r="AK58" s="28">
        <f>'FY21 Final Initial $$'!AK58/'FY21 FTE'!AK$120</f>
        <v>2</v>
      </c>
      <c r="AL58" s="28">
        <f>'FY21 Final Initial $$'!AL58/'FY21 FTE'!AL$120</f>
        <v>2</v>
      </c>
      <c r="AM58" s="28">
        <f>'FY21 Final Initial $$'!AM58/'FY21 FTE'!AM$120</f>
        <v>2</v>
      </c>
      <c r="AN58" s="28">
        <f>'FY21 Final Initial $$'!AN58/'FY21 FTE'!AN$120</f>
        <v>2.0000000000000027</v>
      </c>
      <c r="AO58" s="28">
        <f>'FY21 Final Initial $$'!AO58/'FY21 FTE'!AO$120</f>
        <v>0</v>
      </c>
      <c r="AP58" s="28">
        <f>'FY21 Final Initial $$'!AP58/'FY21 FTE'!AP$120</f>
        <v>0</v>
      </c>
      <c r="AQ58" s="28">
        <f>'FY21 Final Initial $$'!AQ58/'FY21 FTE'!AQ$120</f>
        <v>2</v>
      </c>
      <c r="AR58" s="28">
        <f>'FY21 Final Initial $$'!AR58/'FY21 FTE'!AR$120</f>
        <v>0</v>
      </c>
      <c r="AS58" s="28">
        <f>'FY21 Final Initial $$'!AS58/'FY21 FTE'!AS$120</f>
        <v>0</v>
      </c>
      <c r="AT58" s="28">
        <f>'FY21 Final Initial $$'!AT58/'FY21 FTE'!AT$120</f>
        <v>0</v>
      </c>
      <c r="AU58" s="28">
        <f>'FY21 Final Initial $$'!AU58/'FY21 FTE'!AU$120</f>
        <v>0</v>
      </c>
      <c r="AV58" s="28">
        <f>'FY21 Final Initial $$'!AV58/'FY21 FTE'!AV$120</f>
        <v>0</v>
      </c>
      <c r="AW58" s="28">
        <f>'FY21 Final Initial $$'!AW58/'FY21 FTE'!AW$120</f>
        <v>0</v>
      </c>
      <c r="AX58" s="28">
        <f>'FY21 Final Initial $$'!AX58/'FY21 FTE'!AX$120</f>
        <v>0</v>
      </c>
      <c r="AY58" s="28">
        <f>'FY21 Final Initial $$'!AY58/'FY21 FTE'!AY$120</f>
        <v>1</v>
      </c>
      <c r="AZ58" s="28">
        <f>'FY21 Final Initial $$'!AZ58/'FY21 FTE'!AZ$120</f>
        <v>4</v>
      </c>
      <c r="BA58" s="28">
        <f>'FY21 Final Initial $$'!BA58/'FY21 FTE'!BA$120</f>
        <v>8</v>
      </c>
      <c r="BB58" s="28">
        <f>'FY21 Final Initial $$'!BB58/'FY21 FTE'!BB$120</f>
        <v>4</v>
      </c>
      <c r="BC58" s="28">
        <f>'FY21 Final Initial $$'!BC58/'FY21 FTE'!BC$120</f>
        <v>2.9999999999999996</v>
      </c>
      <c r="BD58" s="28">
        <f>'FY21 Final Initial $$'!BD58/'FY21 FTE'!BD$120</f>
        <v>0</v>
      </c>
      <c r="BE58" s="28">
        <f>'FY21 Final Initial $$'!BE58/'FY21 FTE'!BE$120</f>
        <v>7.5</v>
      </c>
      <c r="BF58" s="28">
        <f>'FY21 Final Initial $$'!BF58/'FY21 FTE'!BF$120</f>
        <v>0</v>
      </c>
      <c r="BG58" s="28">
        <f>'FY21 Final Initial $$'!BG58/'FY21 FTE'!BG$120</f>
        <v>1</v>
      </c>
      <c r="BH58" s="28">
        <f>'FY21 Final Initial $$'!BH58/'FY21 FTE'!BH$120</f>
        <v>3</v>
      </c>
      <c r="BI58" s="28">
        <f>'FY21 Final Initial $$'!BI58/'FY21 FTE'!BI$120</f>
        <v>3</v>
      </c>
      <c r="BJ58" s="28">
        <f>'FY21 Final Initial $$'!BJ58/'FY21 FTE'!BJ$120</f>
        <v>1</v>
      </c>
      <c r="BK58" s="20">
        <v>0</v>
      </c>
      <c r="BL58" s="20"/>
      <c r="BM58" s="20"/>
      <c r="BN58" s="20">
        <v>155979.99</v>
      </c>
      <c r="BO58" s="20">
        <v>2580.5100000000002</v>
      </c>
      <c r="BP58" s="20">
        <v>0</v>
      </c>
      <c r="BQ58" s="28">
        <f>'FY21 Final Initial $$'!BQ58/'FY21 FTE'!BQ$120</f>
        <v>0</v>
      </c>
      <c r="BR58" s="28">
        <f>'FY21 Final Initial $$'!BR58/'FY21 FTE'!BR$120</f>
        <v>0</v>
      </c>
      <c r="BS58" s="28">
        <f>'FY21 Final Initial $$'!BS58/'FY21 FTE'!BS$120</f>
        <v>0</v>
      </c>
      <c r="BT58" s="28">
        <f>'FY21 Final Initial $$'!BT58/'FY21 FTE'!BT$120</f>
        <v>0</v>
      </c>
      <c r="BU58" s="28">
        <f>'FY21 Final Initial $$'!BU58/'FY21 FTE'!BU$120</f>
        <v>0</v>
      </c>
      <c r="BV58" s="28">
        <f>'FY21 Final Initial $$'!BV58/'FY21 FTE'!BV$120</f>
        <v>0</v>
      </c>
      <c r="BW58" s="28">
        <f>'FY21 Final Initial $$'!BW58/'FY21 FTE'!BW$120</f>
        <v>0</v>
      </c>
      <c r="BX58" s="20">
        <v>0</v>
      </c>
      <c r="BY58" s="20">
        <v>0</v>
      </c>
      <c r="BZ58" s="20">
        <v>0</v>
      </c>
      <c r="CA58" s="20">
        <v>0</v>
      </c>
      <c r="CB58" s="28">
        <f>'FY21 Final Initial $$'!CB58/'FY21 FTE'!CB$120</f>
        <v>0</v>
      </c>
      <c r="CC58" s="28">
        <f>'FY21 Final Initial $$'!CC58/'FY21 FTE'!CC$120</f>
        <v>0</v>
      </c>
      <c r="CD58" s="20">
        <v>0</v>
      </c>
      <c r="CE58" s="28">
        <f>'FY21 Final Initial $$'!CE58/'FY21 FTE'!CE$120</f>
        <v>0</v>
      </c>
      <c r="CF58" s="28">
        <f>'FY21 Final Initial $$'!CF58/'FY21 FTE'!CF$120</f>
        <v>0</v>
      </c>
      <c r="CG58" s="28">
        <f>'FY21 Final Initial $$'!CG58/'FY21 FTE'!CG$120</f>
        <v>0</v>
      </c>
      <c r="CH58" s="28">
        <f>'FY21 Final Initial $$'!CH58/'FY21 FTE'!CH$120</f>
        <v>0</v>
      </c>
      <c r="CI58" s="28">
        <f>'FY21 Final Initial $$'!CI58/'FY21 FTE'!CI$120</f>
        <v>0</v>
      </c>
      <c r="CJ58" s="28">
        <f>'FY21 Final Initial $$'!CJ58/'FY21 FTE'!CJ$120</f>
        <v>0</v>
      </c>
      <c r="CK58" s="28">
        <f>'FY21 Final Initial $$'!CK58/'FY21 FTE'!CK$120</f>
        <v>2</v>
      </c>
      <c r="CL58" s="28">
        <f>'FY21 Final Initial $$'!CL58/'FY21 FTE'!CL$120</f>
        <v>0</v>
      </c>
      <c r="CM58" s="20">
        <v>23000</v>
      </c>
      <c r="CN58" s="20">
        <v>5000</v>
      </c>
      <c r="CO58" s="20">
        <v>111843.51999999999</v>
      </c>
      <c r="CP58" s="20">
        <v>100000</v>
      </c>
      <c r="CQ58" s="28">
        <f>'FY21 Final Initial $$'!CQ58/'FY21 FTE'!CQ$120</f>
        <v>0</v>
      </c>
      <c r="CR58" s="20">
        <v>0</v>
      </c>
      <c r="CS58" s="20">
        <v>3920</v>
      </c>
      <c r="CT58" s="20">
        <v>0</v>
      </c>
      <c r="CU58" s="20">
        <v>20453.125</v>
      </c>
      <c r="CV58" s="28">
        <f>'FY21 Final Initial $$'!CV58/'FY21 FTE'!CV$120</f>
        <v>0</v>
      </c>
      <c r="CW58" s="28">
        <f>'FY21 Final Initial $$'!CW58/'FY21 FTE'!CW$120</f>
        <v>0</v>
      </c>
      <c r="CX58" s="20">
        <v>0</v>
      </c>
      <c r="CY58" s="28">
        <f>'FY21 Final Initial $$'!CY58/'FY21 FTE'!CY$120</f>
        <v>0</v>
      </c>
      <c r="CZ58" s="20">
        <v>0</v>
      </c>
      <c r="DA58" s="20">
        <v>0</v>
      </c>
      <c r="DB58" s="20">
        <v>34700</v>
      </c>
      <c r="DC58" s="20">
        <v>105651.60088503252</v>
      </c>
      <c r="DD58" s="20">
        <v>0</v>
      </c>
      <c r="DE58" s="20">
        <v>0</v>
      </c>
      <c r="DF58" s="20">
        <v>0</v>
      </c>
      <c r="DG58" s="20">
        <v>0</v>
      </c>
      <c r="DH58" s="28">
        <f>'FY21 Final Initial $$'!DH58/'FY21 FTE'!DH$120</f>
        <v>0</v>
      </c>
      <c r="DI58" s="20"/>
      <c r="DJ58" s="20">
        <v>24474.999151751399</v>
      </c>
      <c r="DK58" s="22">
        <v>0</v>
      </c>
      <c r="DL58" s="20">
        <v>0</v>
      </c>
      <c r="DM58" s="20">
        <v>0</v>
      </c>
      <c r="DN58" s="20">
        <v>7132154.9801319716</v>
      </c>
      <c r="DO58" s="29">
        <f t="shared" si="1"/>
        <v>6</v>
      </c>
      <c r="DP58" s="29">
        <f t="shared" si="1"/>
        <v>6</v>
      </c>
      <c r="DQ58" s="29">
        <f t="shared" si="2"/>
        <v>12.000000000000004</v>
      </c>
      <c r="DR58" s="29">
        <f t="shared" si="3"/>
        <v>21.5</v>
      </c>
      <c r="DS58" s="29">
        <f t="shared" si="4"/>
        <v>4</v>
      </c>
    </row>
    <row r="59" spans="1:123" x14ac:dyDescent="0.25">
      <c r="A59" s="18">
        <v>266</v>
      </c>
      <c r="B59" t="s">
        <v>199</v>
      </c>
      <c r="C59" t="s">
        <v>150</v>
      </c>
      <c r="D59">
        <v>8</v>
      </c>
      <c r="E59">
        <v>518</v>
      </c>
      <c r="F59" s="19">
        <f t="shared" si="0"/>
        <v>0.48841698841698844</v>
      </c>
      <c r="G59">
        <v>253</v>
      </c>
      <c r="H59" s="28">
        <f>'FY21 Final Initial $$'!H59/'FY21 FTE'!H$120</f>
        <v>1</v>
      </c>
      <c r="I59" s="28">
        <f>'FY21 Final Initial $$'!I59/'FY21 FTE'!I$120</f>
        <v>1</v>
      </c>
      <c r="J59" s="28">
        <f>'FY21 Final Initial $$'!J59/'FY21 FTE'!J$120</f>
        <v>1.4</v>
      </c>
      <c r="K59" s="28">
        <f>'FY21 Final Initial $$'!K59/'FY21 FTE'!K$120</f>
        <v>1</v>
      </c>
      <c r="L59" s="28">
        <f>'FY21 Final Initial $$'!L59/'FY21 FTE'!L$120</f>
        <v>0</v>
      </c>
      <c r="M59" s="28">
        <f>'FY21 Final Initial $$'!M59/'FY21 FTE'!M$120</f>
        <v>1</v>
      </c>
      <c r="N59" s="28">
        <f>'FY21 Final Initial $$'!N59/'FY21 FTE'!N$120</f>
        <v>1</v>
      </c>
      <c r="O59" s="28">
        <f>'FY21 Final Initial $$'!O59/'FY21 FTE'!O$120</f>
        <v>1.3</v>
      </c>
      <c r="P59" s="28">
        <f>'FY21 Final Initial $$'!P59/'FY21 FTE'!P$120</f>
        <v>0</v>
      </c>
      <c r="Q59" s="28">
        <f>'FY21 Final Initial $$'!Q59/'FY21 FTE'!Q$120</f>
        <v>0</v>
      </c>
      <c r="R59" s="28">
        <f>'FY21 Final Initial $$'!R59/'FY21 FTE'!R$120</f>
        <v>0</v>
      </c>
      <c r="S59" s="28">
        <f>'FY21 Final Initial $$'!S59/'FY21 FTE'!S$120</f>
        <v>1</v>
      </c>
      <c r="T59" s="28">
        <f>'FY21 Final Initial $$'!T59/'FY21 FTE'!T$120</f>
        <v>1</v>
      </c>
      <c r="U59" s="28">
        <f>'FY21 Final Initial $$'!U59/'FY21 FTE'!U$120</f>
        <v>3</v>
      </c>
      <c r="V59" s="28">
        <f>'FY21 Final Initial $$'!V59/'FY21 FTE'!V$120</f>
        <v>1</v>
      </c>
      <c r="W59" s="28">
        <f>'FY21 Final Initial $$'!W59/'FY21 FTE'!W$120</f>
        <v>1</v>
      </c>
      <c r="X59" s="28">
        <f>'FY21 Final Initial $$'!X59/'FY21 FTE'!X$120</f>
        <v>1</v>
      </c>
      <c r="Y59" s="28">
        <f>'FY21 Final Initial $$'!Y59/'FY21 FTE'!Y$120</f>
        <v>1</v>
      </c>
      <c r="Z59" s="28">
        <f>'FY21 Final Initial $$'!Z59/'FY21 FTE'!Z$120</f>
        <v>0</v>
      </c>
      <c r="AA59" s="28">
        <f>'FY21 Final Initial $$'!AA59/'FY21 FTE'!AA$120</f>
        <v>0</v>
      </c>
      <c r="AB59" s="28">
        <f>'FY21 Final Initial $$'!AB59/'FY21 FTE'!AB$120</f>
        <v>3</v>
      </c>
      <c r="AC59" s="28">
        <f>'FY21 Final Initial $$'!AC59/'FY21 FTE'!AC$120</f>
        <v>3</v>
      </c>
      <c r="AD59" s="28">
        <f>'FY21 Final Initial $$'!AD59/'FY21 FTE'!AD$120</f>
        <v>0</v>
      </c>
      <c r="AE59" s="28">
        <f>'FY21 Final Initial $$'!AE59/'FY21 FTE'!AE$120</f>
        <v>0</v>
      </c>
      <c r="AF59" s="28">
        <f>'FY21 Final Initial $$'!AF59/'FY21 FTE'!AF$120</f>
        <v>3</v>
      </c>
      <c r="AG59" s="28">
        <f>'FY21 Final Initial $$'!AG59/'FY21 FTE'!AG$120</f>
        <v>3</v>
      </c>
      <c r="AH59" s="28">
        <f>'FY21 Final Initial $$'!AH59/'FY21 FTE'!AH$120</f>
        <v>3</v>
      </c>
      <c r="AI59" s="28">
        <f>'FY21 Final Initial $$'!AI59/'FY21 FTE'!AI$120</f>
        <v>3</v>
      </c>
      <c r="AJ59" s="28">
        <f>'FY21 Final Initial $$'!AJ59/'FY21 FTE'!AJ$120</f>
        <v>3</v>
      </c>
      <c r="AK59" s="28">
        <f>'FY21 Final Initial $$'!AK59/'FY21 FTE'!AK$120</f>
        <v>2</v>
      </c>
      <c r="AL59" s="28">
        <f>'FY21 Final Initial $$'!AL59/'FY21 FTE'!AL$120</f>
        <v>3</v>
      </c>
      <c r="AM59" s="28">
        <f>'FY21 Final Initial $$'!AM59/'FY21 FTE'!AM$120</f>
        <v>3</v>
      </c>
      <c r="AN59" s="28">
        <f>'FY21 Final Initial $$'!AN59/'FY21 FTE'!AN$120</f>
        <v>2.0000000000000027</v>
      </c>
      <c r="AO59" s="28">
        <f>'FY21 Final Initial $$'!AO59/'FY21 FTE'!AO$120</f>
        <v>2.5</v>
      </c>
      <c r="AP59" s="28">
        <f>'FY21 Final Initial $$'!AP59/'FY21 FTE'!AP$120</f>
        <v>1.7</v>
      </c>
      <c r="AQ59" s="28">
        <f>'FY21 Final Initial $$'!AQ59/'FY21 FTE'!AQ$120</f>
        <v>1.4000000000000001</v>
      </c>
      <c r="AR59" s="28">
        <f>'FY21 Final Initial $$'!AR59/'FY21 FTE'!AR$120</f>
        <v>0</v>
      </c>
      <c r="AS59" s="28">
        <f>'FY21 Final Initial $$'!AS59/'FY21 FTE'!AS$120</f>
        <v>0</v>
      </c>
      <c r="AT59" s="28">
        <f>'FY21 Final Initial $$'!AT59/'FY21 FTE'!AT$120</f>
        <v>0</v>
      </c>
      <c r="AU59" s="28">
        <f>'FY21 Final Initial $$'!AU59/'FY21 FTE'!AU$120</f>
        <v>0</v>
      </c>
      <c r="AV59" s="28">
        <f>'FY21 Final Initial $$'!AV59/'FY21 FTE'!AV$120</f>
        <v>0</v>
      </c>
      <c r="AW59" s="28">
        <f>'FY21 Final Initial $$'!AW59/'FY21 FTE'!AW$120</f>
        <v>0</v>
      </c>
      <c r="AX59" s="28">
        <f>'FY21 Final Initial $$'!AX59/'FY21 FTE'!AX$120</f>
        <v>0</v>
      </c>
      <c r="AY59" s="28">
        <f>'FY21 Final Initial $$'!AY59/'FY21 FTE'!AY$120</f>
        <v>1</v>
      </c>
      <c r="AZ59" s="28">
        <f>'FY21 Final Initial $$'!AZ59/'FY21 FTE'!AZ$120</f>
        <v>2</v>
      </c>
      <c r="BA59" s="28">
        <f>'FY21 Final Initial $$'!BA59/'FY21 FTE'!BA$120</f>
        <v>7</v>
      </c>
      <c r="BB59" s="28">
        <f>'FY21 Final Initial $$'!BB59/'FY21 FTE'!BB$120</f>
        <v>1</v>
      </c>
      <c r="BC59" s="28">
        <f>'FY21 Final Initial $$'!BC59/'FY21 FTE'!BC$120</f>
        <v>0</v>
      </c>
      <c r="BD59" s="28">
        <f>'FY21 Final Initial $$'!BD59/'FY21 FTE'!BD$120</f>
        <v>0</v>
      </c>
      <c r="BE59" s="28">
        <f>'FY21 Final Initial $$'!BE59/'FY21 FTE'!BE$120</f>
        <v>1</v>
      </c>
      <c r="BF59" s="28">
        <f>'FY21 Final Initial $$'!BF59/'FY21 FTE'!BF$120</f>
        <v>0</v>
      </c>
      <c r="BG59" s="28">
        <f>'FY21 Final Initial $$'!BG59/'FY21 FTE'!BG$120</f>
        <v>0</v>
      </c>
      <c r="BH59" s="28">
        <f>'FY21 Final Initial $$'!BH59/'FY21 FTE'!BH$120</f>
        <v>5</v>
      </c>
      <c r="BI59" s="28">
        <f>'FY21 Final Initial $$'!BI59/'FY21 FTE'!BI$120</f>
        <v>5</v>
      </c>
      <c r="BJ59" s="28">
        <f>'FY21 Final Initial $$'!BJ59/'FY21 FTE'!BJ$120</f>
        <v>1</v>
      </c>
      <c r="BK59" s="20">
        <v>0</v>
      </c>
      <c r="BL59" s="20"/>
      <c r="BM59" s="20"/>
      <c r="BN59" s="20">
        <v>209678.03</v>
      </c>
      <c r="BO59" s="20">
        <v>3468.89</v>
      </c>
      <c r="BP59" s="20">
        <v>0</v>
      </c>
      <c r="BQ59" s="28">
        <f>'FY21 Final Initial $$'!BQ59/'FY21 FTE'!BQ$120</f>
        <v>0</v>
      </c>
      <c r="BR59" s="28">
        <f>'FY21 Final Initial $$'!BR59/'FY21 FTE'!BR$120</f>
        <v>0</v>
      </c>
      <c r="BS59" s="28">
        <f>'FY21 Final Initial $$'!BS59/'FY21 FTE'!BS$120</f>
        <v>0</v>
      </c>
      <c r="BT59" s="28">
        <f>'FY21 Final Initial $$'!BT59/'FY21 FTE'!BT$120</f>
        <v>0</v>
      </c>
      <c r="BU59" s="28">
        <f>'FY21 Final Initial $$'!BU59/'FY21 FTE'!BU$120</f>
        <v>0</v>
      </c>
      <c r="BV59" s="28">
        <f>'FY21 Final Initial $$'!BV59/'FY21 FTE'!BV$120</f>
        <v>0</v>
      </c>
      <c r="BW59" s="28">
        <f>'FY21 Final Initial $$'!BW59/'FY21 FTE'!BW$120</f>
        <v>0</v>
      </c>
      <c r="BX59" s="20">
        <v>0</v>
      </c>
      <c r="BY59" s="20">
        <v>0</v>
      </c>
      <c r="BZ59" s="20">
        <v>0</v>
      </c>
      <c r="CA59" s="20">
        <v>0</v>
      </c>
      <c r="CB59" s="28">
        <f>'FY21 Final Initial $$'!CB59/'FY21 FTE'!CB$120</f>
        <v>0</v>
      </c>
      <c r="CC59" s="28">
        <f>'FY21 Final Initial $$'!CC59/'FY21 FTE'!CC$120</f>
        <v>0</v>
      </c>
      <c r="CD59" s="20">
        <v>0</v>
      </c>
      <c r="CE59" s="28">
        <f>'FY21 Final Initial $$'!CE59/'FY21 FTE'!CE$120</f>
        <v>0</v>
      </c>
      <c r="CF59" s="28">
        <f>'FY21 Final Initial $$'!CF59/'FY21 FTE'!CF$120</f>
        <v>0</v>
      </c>
      <c r="CG59" s="28">
        <f>'FY21 Final Initial $$'!CG59/'FY21 FTE'!CG$120</f>
        <v>0</v>
      </c>
      <c r="CH59" s="28">
        <f>'FY21 Final Initial $$'!CH59/'FY21 FTE'!CH$120</f>
        <v>0</v>
      </c>
      <c r="CI59" s="28">
        <f>'FY21 Final Initial $$'!CI59/'FY21 FTE'!CI$120</f>
        <v>0</v>
      </c>
      <c r="CJ59" s="28">
        <f>'FY21 Final Initial $$'!CJ59/'FY21 FTE'!CJ$120</f>
        <v>0</v>
      </c>
      <c r="CK59" s="28">
        <f>'FY21 Final Initial $$'!CK59/'FY21 FTE'!CK$120</f>
        <v>2</v>
      </c>
      <c r="CL59" s="28">
        <f>'FY21 Final Initial $$'!CL59/'FY21 FTE'!CL$120</f>
        <v>0</v>
      </c>
      <c r="CM59" s="20">
        <v>23000</v>
      </c>
      <c r="CN59" s="20">
        <v>5000</v>
      </c>
      <c r="CO59" s="20">
        <v>167765.28</v>
      </c>
      <c r="CP59" s="20">
        <v>100000</v>
      </c>
      <c r="CQ59" s="28">
        <f>'FY21 Final Initial $$'!CQ59/'FY21 FTE'!CQ$120</f>
        <v>0</v>
      </c>
      <c r="CR59" s="20">
        <v>0</v>
      </c>
      <c r="CS59" s="20">
        <v>5060</v>
      </c>
      <c r="CT59" s="20">
        <v>180360</v>
      </c>
      <c r="CU59" s="20">
        <v>29217.186206896549</v>
      </c>
      <c r="CV59" s="28">
        <f>'FY21 Final Initial $$'!CV59/'FY21 FTE'!CV$120</f>
        <v>0</v>
      </c>
      <c r="CW59" s="28">
        <f>'FY21 Final Initial $$'!CW59/'FY21 FTE'!CW$120</f>
        <v>0</v>
      </c>
      <c r="CX59" s="20">
        <v>0</v>
      </c>
      <c r="CY59" s="28">
        <f>'FY21 Final Initial $$'!CY59/'FY21 FTE'!CY$120</f>
        <v>0</v>
      </c>
      <c r="CZ59" s="20">
        <v>0</v>
      </c>
      <c r="DA59" s="20">
        <v>0</v>
      </c>
      <c r="DB59" s="20">
        <v>51800</v>
      </c>
      <c r="DC59" s="20">
        <v>107584.05636797837</v>
      </c>
      <c r="DD59" s="20">
        <v>0</v>
      </c>
      <c r="DE59" s="20">
        <v>0</v>
      </c>
      <c r="DF59" s="20">
        <v>0</v>
      </c>
      <c r="DG59" s="20">
        <v>0</v>
      </c>
      <c r="DH59" s="28">
        <f>'FY21 Final Initial $$'!DH59/'FY21 FTE'!DH$120</f>
        <v>0</v>
      </c>
      <c r="DI59" s="20"/>
      <c r="DJ59" s="20">
        <v>44625.001480802894</v>
      </c>
      <c r="DK59" s="22">
        <v>0</v>
      </c>
      <c r="DL59" s="20">
        <v>0</v>
      </c>
      <c r="DM59" s="20">
        <v>50000</v>
      </c>
      <c r="DN59" s="20">
        <v>7504737.97001707</v>
      </c>
      <c r="DO59" s="29">
        <f t="shared" si="1"/>
        <v>9</v>
      </c>
      <c r="DP59" s="29">
        <f t="shared" si="1"/>
        <v>9</v>
      </c>
      <c r="DQ59" s="29">
        <f t="shared" si="2"/>
        <v>18.600000000000001</v>
      </c>
      <c r="DR59" s="29">
        <f t="shared" si="3"/>
        <v>11</v>
      </c>
      <c r="DS59" s="29">
        <f t="shared" si="4"/>
        <v>1</v>
      </c>
    </row>
    <row r="60" spans="1:123" x14ac:dyDescent="0.25">
      <c r="A60" s="18">
        <v>271</v>
      </c>
      <c r="B60" t="s">
        <v>200</v>
      </c>
      <c r="C60" t="s">
        <v>135</v>
      </c>
      <c r="D60">
        <v>6</v>
      </c>
      <c r="E60">
        <v>486</v>
      </c>
      <c r="F60" s="19">
        <f t="shared" si="0"/>
        <v>0.27983539094650206</v>
      </c>
      <c r="G60">
        <v>136</v>
      </c>
      <c r="H60" s="28">
        <f>'FY21 Final Initial $$'!H60/'FY21 FTE'!H$120</f>
        <v>1</v>
      </c>
      <c r="I60" s="28">
        <f>'FY21 Final Initial $$'!I60/'FY21 FTE'!I$120</f>
        <v>1</v>
      </c>
      <c r="J60" s="28">
        <f>'FY21 Final Initial $$'!J60/'FY21 FTE'!J$120</f>
        <v>1.2</v>
      </c>
      <c r="K60" s="28">
        <f>'FY21 Final Initial $$'!K60/'FY21 FTE'!K$120</f>
        <v>0</v>
      </c>
      <c r="L60" s="28">
        <f>'FY21 Final Initial $$'!L60/'FY21 FTE'!L$120</f>
        <v>0</v>
      </c>
      <c r="M60" s="28">
        <f>'FY21 Final Initial $$'!M60/'FY21 FTE'!M$120</f>
        <v>1</v>
      </c>
      <c r="N60" s="28">
        <f>'FY21 Final Initial $$'!N60/'FY21 FTE'!N$120</f>
        <v>1</v>
      </c>
      <c r="O60" s="28">
        <f>'FY21 Final Initial $$'!O60/'FY21 FTE'!O$120</f>
        <v>1.2</v>
      </c>
      <c r="P60" s="28">
        <f>'FY21 Final Initial $$'!P60/'FY21 FTE'!P$120</f>
        <v>0</v>
      </c>
      <c r="Q60" s="28">
        <f>'FY21 Final Initial $$'!Q60/'FY21 FTE'!Q$120</f>
        <v>0</v>
      </c>
      <c r="R60" s="28">
        <f>'FY21 Final Initial $$'!R60/'FY21 FTE'!R$120</f>
        <v>0</v>
      </c>
      <c r="S60" s="28">
        <f>'FY21 Final Initial $$'!S60/'FY21 FTE'!S$120</f>
        <v>1</v>
      </c>
      <c r="T60" s="28">
        <f>'FY21 Final Initial $$'!T60/'FY21 FTE'!T$120</f>
        <v>1</v>
      </c>
      <c r="U60" s="28">
        <f>'FY21 Final Initial $$'!U60/'FY21 FTE'!U$120</f>
        <v>2</v>
      </c>
      <c r="V60" s="28">
        <f>'FY21 Final Initial $$'!V60/'FY21 FTE'!V$120</f>
        <v>1</v>
      </c>
      <c r="W60" s="28">
        <f>'FY21 Final Initial $$'!W60/'FY21 FTE'!W$120</f>
        <v>1</v>
      </c>
      <c r="X60" s="28">
        <f>'FY21 Final Initial $$'!X60/'FY21 FTE'!X$120</f>
        <v>1</v>
      </c>
      <c r="Y60" s="28">
        <f>'FY21 Final Initial $$'!Y60/'FY21 FTE'!Y$120</f>
        <v>1</v>
      </c>
      <c r="Z60" s="28">
        <f>'FY21 Final Initial $$'!Z60/'FY21 FTE'!Z$120</f>
        <v>1.5</v>
      </c>
      <c r="AA60" s="28">
        <f>'FY21 Final Initial $$'!AA60/'FY21 FTE'!AA$120</f>
        <v>0</v>
      </c>
      <c r="AB60" s="28">
        <f>'FY21 Final Initial $$'!AB60/'FY21 FTE'!AB$120</f>
        <v>3</v>
      </c>
      <c r="AC60" s="28">
        <f>'FY21 Final Initial $$'!AC60/'FY21 FTE'!AC$120</f>
        <v>3</v>
      </c>
      <c r="AD60" s="28">
        <f>'FY21 Final Initial $$'!AD60/'FY21 FTE'!AD$120</f>
        <v>0</v>
      </c>
      <c r="AE60" s="28">
        <f>'FY21 Final Initial $$'!AE60/'FY21 FTE'!AE$120</f>
        <v>0</v>
      </c>
      <c r="AF60" s="28">
        <f>'FY21 Final Initial $$'!AF60/'FY21 FTE'!AF$120</f>
        <v>3</v>
      </c>
      <c r="AG60" s="28">
        <f>'FY21 Final Initial $$'!AG60/'FY21 FTE'!AG$120</f>
        <v>3</v>
      </c>
      <c r="AH60" s="28">
        <f>'FY21 Final Initial $$'!AH60/'FY21 FTE'!AH$120</f>
        <v>3</v>
      </c>
      <c r="AI60" s="28">
        <f>'FY21 Final Initial $$'!AI60/'FY21 FTE'!AI$120</f>
        <v>3</v>
      </c>
      <c r="AJ60" s="28">
        <f>'FY21 Final Initial $$'!AJ60/'FY21 FTE'!AJ$120</f>
        <v>3</v>
      </c>
      <c r="AK60" s="28">
        <f>'FY21 Final Initial $$'!AK60/'FY21 FTE'!AK$120</f>
        <v>3</v>
      </c>
      <c r="AL60" s="28">
        <f>'FY21 Final Initial $$'!AL60/'FY21 FTE'!AL$120</f>
        <v>3</v>
      </c>
      <c r="AM60" s="28">
        <f>'FY21 Final Initial $$'!AM60/'FY21 FTE'!AM$120</f>
        <v>3</v>
      </c>
      <c r="AN60" s="28">
        <f>'FY21 Final Initial $$'!AN60/'FY21 FTE'!AN$120</f>
        <v>2.0000000000000027</v>
      </c>
      <c r="AO60" s="28">
        <f>'FY21 Final Initial $$'!AO60/'FY21 FTE'!AO$120</f>
        <v>0</v>
      </c>
      <c r="AP60" s="28">
        <f>'FY21 Final Initial $$'!AP60/'FY21 FTE'!AP$120</f>
        <v>0</v>
      </c>
      <c r="AQ60" s="28">
        <f>'FY21 Final Initial $$'!AQ60/'FY21 FTE'!AQ$120</f>
        <v>0</v>
      </c>
      <c r="AR60" s="28">
        <f>'FY21 Final Initial $$'!AR60/'FY21 FTE'!AR$120</f>
        <v>0</v>
      </c>
      <c r="AS60" s="28">
        <f>'FY21 Final Initial $$'!AS60/'FY21 FTE'!AS$120</f>
        <v>0</v>
      </c>
      <c r="AT60" s="28">
        <f>'FY21 Final Initial $$'!AT60/'FY21 FTE'!AT$120</f>
        <v>0</v>
      </c>
      <c r="AU60" s="28">
        <f>'FY21 Final Initial $$'!AU60/'FY21 FTE'!AU$120</f>
        <v>0</v>
      </c>
      <c r="AV60" s="28">
        <f>'FY21 Final Initial $$'!AV60/'FY21 FTE'!AV$120</f>
        <v>0</v>
      </c>
      <c r="AW60" s="28">
        <f>'FY21 Final Initial $$'!AW60/'FY21 FTE'!AW$120</f>
        <v>0</v>
      </c>
      <c r="AX60" s="28">
        <f>'FY21 Final Initial $$'!AX60/'FY21 FTE'!AX$120</f>
        <v>0</v>
      </c>
      <c r="AY60" s="28">
        <f>'FY21 Final Initial $$'!AY60/'FY21 FTE'!AY$120</f>
        <v>1</v>
      </c>
      <c r="AZ60" s="28">
        <f>'FY21 Final Initial $$'!AZ60/'FY21 FTE'!AZ$120</f>
        <v>1.5</v>
      </c>
      <c r="BA60" s="28">
        <f>'FY21 Final Initial $$'!BA60/'FY21 FTE'!BA$120</f>
        <v>7</v>
      </c>
      <c r="BB60" s="28">
        <f>'FY21 Final Initial $$'!BB60/'FY21 FTE'!BB$120</f>
        <v>6</v>
      </c>
      <c r="BC60" s="28">
        <f>'FY21 Final Initial $$'!BC60/'FY21 FTE'!BC$120</f>
        <v>0</v>
      </c>
      <c r="BD60" s="28">
        <f>'FY21 Final Initial $$'!BD60/'FY21 FTE'!BD$120</f>
        <v>0</v>
      </c>
      <c r="BE60" s="28">
        <f>'FY21 Final Initial $$'!BE60/'FY21 FTE'!BE$120</f>
        <v>1</v>
      </c>
      <c r="BF60" s="28">
        <f>'FY21 Final Initial $$'!BF60/'FY21 FTE'!BF$120</f>
        <v>0</v>
      </c>
      <c r="BG60" s="28">
        <f>'FY21 Final Initial $$'!BG60/'FY21 FTE'!BG$120</f>
        <v>0</v>
      </c>
      <c r="BH60" s="28">
        <f>'FY21 Final Initial $$'!BH60/'FY21 FTE'!BH$120</f>
        <v>0</v>
      </c>
      <c r="BI60" s="28">
        <f>'FY21 Final Initial $$'!BI60/'FY21 FTE'!BI$120</f>
        <v>0</v>
      </c>
      <c r="BJ60" s="28">
        <f>'FY21 Final Initial $$'!BJ60/'FY21 FTE'!BJ$120</f>
        <v>0</v>
      </c>
      <c r="BK60" s="20">
        <v>0</v>
      </c>
      <c r="BL60" s="20"/>
      <c r="BM60" s="20"/>
      <c r="BN60" s="20">
        <v>0</v>
      </c>
      <c r="BO60" s="20">
        <v>0</v>
      </c>
      <c r="BP60" s="20">
        <v>11500</v>
      </c>
      <c r="BQ60" s="28">
        <f>'FY21 Final Initial $$'!BQ60/'FY21 FTE'!BQ$120</f>
        <v>0</v>
      </c>
      <c r="BR60" s="28">
        <f>'FY21 Final Initial $$'!BR60/'FY21 FTE'!BR$120</f>
        <v>0</v>
      </c>
      <c r="BS60" s="28">
        <f>'FY21 Final Initial $$'!BS60/'FY21 FTE'!BS$120</f>
        <v>0</v>
      </c>
      <c r="BT60" s="28">
        <f>'FY21 Final Initial $$'!BT60/'FY21 FTE'!BT$120</f>
        <v>0</v>
      </c>
      <c r="BU60" s="28">
        <f>'FY21 Final Initial $$'!BU60/'FY21 FTE'!BU$120</f>
        <v>0</v>
      </c>
      <c r="BV60" s="28">
        <f>'FY21 Final Initial $$'!BV60/'FY21 FTE'!BV$120</f>
        <v>0</v>
      </c>
      <c r="BW60" s="28">
        <f>'FY21 Final Initial $$'!BW60/'FY21 FTE'!BW$120</f>
        <v>0</v>
      </c>
      <c r="BX60" s="20">
        <v>0</v>
      </c>
      <c r="BY60" s="20">
        <v>0</v>
      </c>
      <c r="BZ60" s="20">
        <v>0</v>
      </c>
      <c r="CA60" s="20">
        <v>0</v>
      </c>
      <c r="CB60" s="28">
        <f>'FY21 Final Initial $$'!CB60/'FY21 FTE'!CB$120</f>
        <v>0</v>
      </c>
      <c r="CC60" s="28">
        <f>'FY21 Final Initial $$'!CC60/'FY21 FTE'!CC$120</f>
        <v>0</v>
      </c>
      <c r="CD60" s="20">
        <v>0</v>
      </c>
      <c r="CE60" s="28">
        <f>'FY21 Final Initial $$'!CE60/'FY21 FTE'!CE$120</f>
        <v>0</v>
      </c>
      <c r="CF60" s="28">
        <f>'FY21 Final Initial $$'!CF60/'FY21 FTE'!CF$120</f>
        <v>0</v>
      </c>
      <c r="CG60" s="28">
        <f>'FY21 Final Initial $$'!CG60/'FY21 FTE'!CG$120</f>
        <v>0</v>
      </c>
      <c r="CH60" s="28">
        <f>'FY21 Final Initial $$'!CH60/'FY21 FTE'!CH$120</f>
        <v>0</v>
      </c>
      <c r="CI60" s="28">
        <f>'FY21 Final Initial $$'!CI60/'FY21 FTE'!CI$120</f>
        <v>0</v>
      </c>
      <c r="CJ60" s="28">
        <f>'FY21 Final Initial $$'!CJ60/'FY21 FTE'!CJ$120</f>
        <v>0</v>
      </c>
      <c r="CK60" s="28">
        <f>'FY21 Final Initial $$'!CK60/'FY21 FTE'!CK$120</f>
        <v>0</v>
      </c>
      <c r="CL60" s="28">
        <f>'FY21 Final Initial $$'!CL60/'FY21 FTE'!CL$120</f>
        <v>0</v>
      </c>
      <c r="CM60" s="20">
        <v>0</v>
      </c>
      <c r="CN60" s="20">
        <v>0</v>
      </c>
      <c r="CO60" s="20">
        <v>55921.759999999995</v>
      </c>
      <c r="CP60" s="20">
        <v>0</v>
      </c>
      <c r="CQ60" s="28">
        <f>'FY21 Final Initial $$'!CQ60/'FY21 FTE'!CQ$120</f>
        <v>0</v>
      </c>
      <c r="CR60" s="20">
        <v>0</v>
      </c>
      <c r="CS60" s="20">
        <v>2720</v>
      </c>
      <c r="CT60" s="20">
        <v>0</v>
      </c>
      <c r="CU60" s="20">
        <v>25922.505070993917</v>
      </c>
      <c r="CV60" s="28">
        <f>'FY21 Final Initial $$'!CV60/'FY21 FTE'!CV$120</f>
        <v>0</v>
      </c>
      <c r="CW60" s="28">
        <f>'FY21 Final Initial $$'!CW60/'FY21 FTE'!CW$120</f>
        <v>0</v>
      </c>
      <c r="CX60" s="20">
        <v>0</v>
      </c>
      <c r="CY60" s="28">
        <f>'FY21 Final Initial $$'!CY60/'FY21 FTE'!CY$120</f>
        <v>0</v>
      </c>
      <c r="CZ60" s="20">
        <v>0</v>
      </c>
      <c r="DA60" s="20">
        <v>0</v>
      </c>
      <c r="DB60" s="20">
        <v>48600</v>
      </c>
      <c r="DC60" s="20">
        <v>92611.555714639835</v>
      </c>
      <c r="DD60" s="20">
        <v>0</v>
      </c>
      <c r="DE60" s="20">
        <v>0</v>
      </c>
      <c r="DF60" s="20">
        <v>0</v>
      </c>
      <c r="DG60" s="20">
        <v>0</v>
      </c>
      <c r="DH60" s="28">
        <f>'FY21 Final Initial $$'!DH60/'FY21 FTE'!DH$120</f>
        <v>0</v>
      </c>
      <c r="DI60" s="20"/>
      <c r="DJ60" s="20">
        <v>4724.9999687075615</v>
      </c>
      <c r="DK60" s="22">
        <v>0</v>
      </c>
      <c r="DL60" s="20">
        <v>106014.34039967961</v>
      </c>
      <c r="DM60" s="20">
        <v>140000</v>
      </c>
      <c r="DN60" s="20">
        <v>6240285.7024360001</v>
      </c>
      <c r="DO60" s="29">
        <f t="shared" si="1"/>
        <v>9</v>
      </c>
      <c r="DP60" s="29">
        <f t="shared" si="1"/>
        <v>9</v>
      </c>
      <c r="DQ60" s="29">
        <f t="shared" si="2"/>
        <v>14.000000000000004</v>
      </c>
      <c r="DR60" s="29">
        <f t="shared" si="3"/>
        <v>10.5</v>
      </c>
      <c r="DS60" s="29">
        <f t="shared" si="4"/>
        <v>6</v>
      </c>
    </row>
    <row r="61" spans="1:123" x14ac:dyDescent="0.25">
      <c r="A61" s="18">
        <v>884</v>
      </c>
      <c r="B61" t="s">
        <v>201</v>
      </c>
      <c r="C61" t="s">
        <v>138</v>
      </c>
      <c r="D61">
        <v>5</v>
      </c>
      <c r="E61">
        <v>294</v>
      </c>
      <c r="F61" s="19">
        <f t="shared" si="0"/>
        <v>0</v>
      </c>
      <c r="G61">
        <v>0</v>
      </c>
      <c r="H61" s="28">
        <f>'FY21 Final Initial $$'!H61/'FY21 FTE'!H$120</f>
        <v>1</v>
      </c>
      <c r="I61" s="28">
        <f>'FY21 Final Initial $$'!I61/'FY21 FTE'!I$120</f>
        <v>1</v>
      </c>
      <c r="J61" s="28">
        <f>'FY21 Final Initial $$'!J61/'FY21 FTE'!J$120</f>
        <v>1</v>
      </c>
      <c r="K61" s="28">
        <f>'FY21 Final Initial $$'!K61/'FY21 FTE'!K$120</f>
        <v>0</v>
      </c>
      <c r="L61" s="28">
        <f>'FY21 Final Initial $$'!L61/'FY21 FTE'!L$120</f>
        <v>1.5000000000000002</v>
      </c>
      <c r="M61" s="28">
        <f>'FY21 Final Initial $$'!M61/'FY21 FTE'!M$120</f>
        <v>0.5</v>
      </c>
      <c r="N61" s="28">
        <f>'FY21 Final Initial $$'!N61/'FY21 FTE'!N$120</f>
        <v>1</v>
      </c>
      <c r="O61" s="28">
        <f>'FY21 Final Initial $$'!O61/'FY21 FTE'!O$120</f>
        <v>0</v>
      </c>
      <c r="P61" s="28">
        <f>'FY21 Final Initial $$'!P61/'FY21 FTE'!P$120</f>
        <v>1</v>
      </c>
      <c r="Q61" s="28">
        <f>'FY21 Final Initial $$'!Q61/'FY21 FTE'!Q$120</f>
        <v>1.0000004487061702</v>
      </c>
      <c r="R61" s="28">
        <f>'FY21 Final Initial $$'!R61/'FY21 FTE'!R$120</f>
        <v>0</v>
      </c>
      <c r="S61" s="28">
        <f>'FY21 Final Initial $$'!S61/'FY21 FTE'!S$120</f>
        <v>1</v>
      </c>
      <c r="T61" s="28">
        <f>'FY21 Final Initial $$'!T61/'FY21 FTE'!T$120</f>
        <v>1</v>
      </c>
      <c r="U61" s="28">
        <f>'FY21 Final Initial $$'!U61/'FY21 FTE'!U$120</f>
        <v>1</v>
      </c>
      <c r="V61" s="28">
        <f>'FY21 Final Initial $$'!V61/'FY21 FTE'!V$120</f>
        <v>0.5</v>
      </c>
      <c r="W61" s="28">
        <f>'FY21 Final Initial $$'!W61/'FY21 FTE'!W$120</f>
        <v>0</v>
      </c>
      <c r="X61" s="28">
        <f>'FY21 Final Initial $$'!X61/'FY21 FTE'!X$120</f>
        <v>0</v>
      </c>
      <c r="Y61" s="28">
        <f>'FY21 Final Initial $$'!Y61/'FY21 FTE'!Y$120</f>
        <v>0</v>
      </c>
      <c r="Z61" s="28">
        <f>'FY21 Final Initial $$'!Z61/'FY21 FTE'!Z$120</f>
        <v>0</v>
      </c>
      <c r="AA61" s="28">
        <f>'FY21 Final Initial $$'!AA61/'FY21 FTE'!AA$120</f>
        <v>0</v>
      </c>
      <c r="AB61" s="28">
        <f>'FY21 Final Initial $$'!AB61/'FY21 FTE'!AB$120</f>
        <v>0</v>
      </c>
      <c r="AC61" s="28">
        <f>'FY21 Final Initial $$'!AC61/'FY21 FTE'!AC$120</f>
        <v>0</v>
      </c>
      <c r="AD61" s="28">
        <f>'FY21 Final Initial $$'!AD61/'FY21 FTE'!AD$120</f>
        <v>0</v>
      </c>
      <c r="AE61" s="28">
        <f>'FY21 Final Initial $$'!AE61/'FY21 FTE'!AE$120</f>
        <v>0</v>
      </c>
      <c r="AF61" s="28">
        <f>'FY21 Final Initial $$'!AF61/'FY21 FTE'!AF$120</f>
        <v>0</v>
      </c>
      <c r="AG61" s="28">
        <f>'FY21 Final Initial $$'!AG61/'FY21 FTE'!AG$120</f>
        <v>0</v>
      </c>
      <c r="AH61" s="28">
        <f>'FY21 Final Initial $$'!AH61/'FY21 FTE'!AH$120</f>
        <v>0</v>
      </c>
      <c r="AI61" s="28">
        <f>'FY21 Final Initial $$'!AI61/'FY21 FTE'!AI$120</f>
        <v>0</v>
      </c>
      <c r="AJ61" s="28">
        <f>'FY21 Final Initial $$'!AJ61/'FY21 FTE'!AJ$120</f>
        <v>0</v>
      </c>
      <c r="AK61" s="28">
        <f>'FY21 Final Initial $$'!AK61/'FY21 FTE'!AK$120</f>
        <v>0</v>
      </c>
      <c r="AL61" s="28">
        <f>'FY21 Final Initial $$'!AL61/'FY21 FTE'!AL$120</f>
        <v>0</v>
      </c>
      <c r="AM61" s="28">
        <f>'FY21 Final Initial $$'!AM61/'FY21 FTE'!AM$120</f>
        <v>0</v>
      </c>
      <c r="AN61" s="28">
        <f>'FY21 Final Initial $$'!AN61/'FY21 FTE'!AN$120</f>
        <v>0</v>
      </c>
      <c r="AO61" s="28">
        <f>'FY21 Final Initial $$'!AO61/'FY21 FTE'!AO$120</f>
        <v>0</v>
      </c>
      <c r="AP61" s="28">
        <f>'FY21 Final Initial $$'!AP61/'FY21 FTE'!AP$120</f>
        <v>0</v>
      </c>
      <c r="AQ61" s="28">
        <f>'FY21 Final Initial $$'!AQ61/'FY21 FTE'!AQ$120</f>
        <v>0</v>
      </c>
      <c r="AR61" s="28">
        <f>'FY21 Final Initial $$'!AR61/'FY21 FTE'!AR$120</f>
        <v>2.8000000000000003</v>
      </c>
      <c r="AS61" s="28">
        <f>'FY21 Final Initial $$'!AS61/'FY21 FTE'!AS$120</f>
        <v>3.4</v>
      </c>
      <c r="AT61" s="28">
        <f>'FY21 Final Initial $$'!AT61/'FY21 FTE'!AT$120</f>
        <v>3.2</v>
      </c>
      <c r="AU61" s="28">
        <f>'FY21 Final Initial $$'!AU61/'FY21 FTE'!AU$120</f>
        <v>2.8000000000000003</v>
      </c>
      <c r="AV61" s="28">
        <f>'FY21 Final Initial $$'!AV61/'FY21 FTE'!AV$120</f>
        <v>0</v>
      </c>
      <c r="AW61" s="28">
        <f>'FY21 Final Initial $$'!AW61/'FY21 FTE'!AW$120</f>
        <v>0</v>
      </c>
      <c r="AX61" s="28">
        <f>'FY21 Final Initial $$'!AX61/'FY21 FTE'!AX$120</f>
        <v>0</v>
      </c>
      <c r="AY61" s="28">
        <f>'FY21 Final Initial $$'!AY61/'FY21 FTE'!AY$120</f>
        <v>1</v>
      </c>
      <c r="AZ61" s="28">
        <f>'FY21 Final Initial $$'!AZ61/'FY21 FTE'!AZ$120</f>
        <v>2</v>
      </c>
      <c r="BA61" s="28">
        <f>'FY21 Final Initial $$'!BA61/'FY21 FTE'!BA$120</f>
        <v>8</v>
      </c>
      <c r="BB61" s="28">
        <f>'FY21 Final Initial $$'!BB61/'FY21 FTE'!BB$120</f>
        <v>0</v>
      </c>
      <c r="BC61" s="28">
        <f>'FY21 Final Initial $$'!BC61/'FY21 FTE'!BC$120</f>
        <v>0</v>
      </c>
      <c r="BD61" s="28">
        <f>'FY21 Final Initial $$'!BD61/'FY21 FTE'!BD$120</f>
        <v>0</v>
      </c>
      <c r="BE61" s="28">
        <f>'FY21 Final Initial $$'!BE61/'FY21 FTE'!BE$120</f>
        <v>0.36363636363636365</v>
      </c>
      <c r="BF61" s="28">
        <f>'FY21 Final Initial $$'!BF61/'FY21 FTE'!BF$120</f>
        <v>0</v>
      </c>
      <c r="BG61" s="28">
        <f>'FY21 Final Initial $$'!BG61/'FY21 FTE'!BG$120</f>
        <v>0</v>
      </c>
      <c r="BH61" s="28">
        <f>'FY21 Final Initial $$'!BH61/'FY21 FTE'!BH$120</f>
        <v>0</v>
      </c>
      <c r="BI61" s="28">
        <f>'FY21 Final Initial $$'!BI61/'FY21 FTE'!BI$120</f>
        <v>0</v>
      </c>
      <c r="BJ61" s="28">
        <f>'FY21 Final Initial $$'!BJ61/'FY21 FTE'!BJ$120</f>
        <v>0</v>
      </c>
      <c r="BK61" s="20">
        <v>70000</v>
      </c>
      <c r="BL61" s="20"/>
      <c r="BM61" s="20"/>
      <c r="BN61" s="20">
        <v>85925.36</v>
      </c>
      <c r="BO61" s="20">
        <v>1387.1</v>
      </c>
      <c r="BP61" s="20">
        <v>0</v>
      </c>
      <c r="BQ61" s="28">
        <f>'FY21 Final Initial $$'!BQ61/'FY21 FTE'!BQ$120</f>
        <v>0</v>
      </c>
      <c r="BR61" s="28">
        <f>'FY21 Final Initial $$'!BR61/'FY21 FTE'!BR$120</f>
        <v>0</v>
      </c>
      <c r="BS61" s="28">
        <f>'FY21 Final Initial $$'!BS61/'FY21 FTE'!BS$120</f>
        <v>0</v>
      </c>
      <c r="BT61" s="28">
        <f>'FY21 Final Initial $$'!BT61/'FY21 FTE'!BT$120</f>
        <v>0</v>
      </c>
      <c r="BU61" s="28">
        <f>'FY21 Final Initial $$'!BU61/'FY21 FTE'!BU$120</f>
        <v>0</v>
      </c>
      <c r="BV61" s="28">
        <f>'FY21 Final Initial $$'!BV61/'FY21 FTE'!BV$120</f>
        <v>0</v>
      </c>
      <c r="BW61" s="28">
        <f>'FY21 Final Initial $$'!BW61/'FY21 FTE'!BW$120</f>
        <v>0</v>
      </c>
      <c r="BX61" s="20">
        <v>0</v>
      </c>
      <c r="BY61" s="20">
        <v>0</v>
      </c>
      <c r="BZ61" s="20">
        <v>0</v>
      </c>
      <c r="CA61" s="20">
        <v>0</v>
      </c>
      <c r="CB61" s="28">
        <f>'FY21 Final Initial $$'!CB61/'FY21 FTE'!CB$120</f>
        <v>0</v>
      </c>
      <c r="CC61" s="28">
        <f>'FY21 Final Initial $$'!CC61/'FY21 FTE'!CC$120</f>
        <v>0</v>
      </c>
      <c r="CD61" s="20">
        <v>0</v>
      </c>
      <c r="CE61" s="28">
        <f>'FY21 Final Initial $$'!CE61/'FY21 FTE'!CE$120</f>
        <v>0</v>
      </c>
      <c r="CF61" s="28">
        <f>'FY21 Final Initial $$'!CF61/'FY21 FTE'!CF$120</f>
        <v>0</v>
      </c>
      <c r="CG61" s="28">
        <f>'FY21 Final Initial $$'!CG61/'FY21 FTE'!CG$120</f>
        <v>0</v>
      </c>
      <c r="CH61" s="28">
        <f>'FY21 Final Initial $$'!CH61/'FY21 FTE'!CH$120</f>
        <v>0</v>
      </c>
      <c r="CI61" s="28">
        <f>'FY21 Final Initial $$'!CI61/'FY21 FTE'!CI$120</f>
        <v>0</v>
      </c>
      <c r="CJ61" s="28">
        <f>'FY21 Final Initial $$'!CJ61/'FY21 FTE'!CJ$120</f>
        <v>0</v>
      </c>
      <c r="CK61" s="28">
        <f>'FY21 Final Initial $$'!CK61/'FY21 FTE'!CK$120</f>
        <v>0</v>
      </c>
      <c r="CL61" s="28">
        <f>'FY21 Final Initial $$'!CL61/'FY21 FTE'!CL$120</f>
        <v>0</v>
      </c>
      <c r="CM61" s="20">
        <v>0</v>
      </c>
      <c r="CN61" s="20">
        <v>0</v>
      </c>
      <c r="CO61" s="20">
        <v>244045.91999999998</v>
      </c>
      <c r="CP61" s="20">
        <v>0</v>
      </c>
      <c r="CQ61" s="28">
        <f>'FY21 Final Initial $$'!CQ61/'FY21 FTE'!CQ$120</f>
        <v>0</v>
      </c>
      <c r="CR61" s="20">
        <v>0</v>
      </c>
      <c r="CS61" s="20">
        <v>0</v>
      </c>
      <c r="CT61" s="20">
        <v>0</v>
      </c>
      <c r="CU61" s="20">
        <v>37367.441599999998</v>
      </c>
      <c r="CV61" s="28">
        <f>'FY21 Final Initial $$'!CV61/'FY21 FTE'!CV$120</f>
        <v>0</v>
      </c>
      <c r="CW61" s="28">
        <f>'FY21 Final Initial $$'!CW61/'FY21 FTE'!CW$120</f>
        <v>1</v>
      </c>
      <c r="CX61" s="20">
        <v>150000</v>
      </c>
      <c r="CY61" s="28">
        <f>'FY21 Final Initial $$'!CY61/'FY21 FTE'!CY$120</f>
        <v>0</v>
      </c>
      <c r="CZ61" s="20">
        <v>0</v>
      </c>
      <c r="DA61" s="20">
        <v>0</v>
      </c>
      <c r="DB61" s="20">
        <v>29400</v>
      </c>
      <c r="DC61" s="20">
        <v>61769.634368396939</v>
      </c>
      <c r="DD61" s="20">
        <v>0</v>
      </c>
      <c r="DE61" s="20">
        <v>0</v>
      </c>
      <c r="DF61" s="20">
        <v>0</v>
      </c>
      <c r="DG61" s="20">
        <v>0</v>
      </c>
      <c r="DH61" s="28">
        <f>'FY21 Final Initial $$'!DH61/'FY21 FTE'!DH$120</f>
        <v>0</v>
      </c>
      <c r="DI61" s="20">
        <v>4950</v>
      </c>
      <c r="DJ61" s="20">
        <v>4950</v>
      </c>
      <c r="DK61" s="22">
        <v>0</v>
      </c>
      <c r="DL61" s="20">
        <v>0</v>
      </c>
      <c r="DM61" s="20">
        <v>0</v>
      </c>
      <c r="DN61" s="20">
        <v>4521468.7086638594</v>
      </c>
      <c r="DO61" s="29">
        <f t="shared" si="1"/>
        <v>0</v>
      </c>
      <c r="DP61" s="29">
        <f t="shared" si="1"/>
        <v>0</v>
      </c>
      <c r="DQ61" s="29">
        <f t="shared" si="2"/>
        <v>12.200000000000001</v>
      </c>
      <c r="DR61" s="29">
        <f t="shared" si="3"/>
        <v>11.363636363636363</v>
      </c>
      <c r="DS61" s="29">
        <f t="shared" si="4"/>
        <v>0</v>
      </c>
    </row>
    <row r="62" spans="1:123" x14ac:dyDescent="0.25">
      <c r="A62" s="18">
        <v>420</v>
      </c>
      <c r="B62" t="s">
        <v>202</v>
      </c>
      <c r="C62" t="s">
        <v>152</v>
      </c>
      <c r="D62">
        <v>4</v>
      </c>
      <c r="E62">
        <v>766</v>
      </c>
      <c r="F62" s="19">
        <f t="shared" si="0"/>
        <v>0.45561357702349869</v>
      </c>
      <c r="G62">
        <v>349</v>
      </c>
      <c r="H62" s="28">
        <f>'FY21 Final Initial $$'!H62/'FY21 FTE'!H$120</f>
        <v>1</v>
      </c>
      <c r="I62" s="28">
        <f>'FY21 Final Initial $$'!I62/'FY21 FTE'!I$120</f>
        <v>1</v>
      </c>
      <c r="J62" s="28">
        <f>'FY21 Final Initial $$'!J62/'FY21 FTE'!J$120</f>
        <v>2.6</v>
      </c>
      <c r="K62" s="28">
        <f>'FY21 Final Initial $$'!K62/'FY21 FTE'!K$120</f>
        <v>1.9</v>
      </c>
      <c r="L62" s="28">
        <f>'FY21 Final Initial $$'!L62/'FY21 FTE'!L$120</f>
        <v>0</v>
      </c>
      <c r="M62" s="28">
        <f>'FY21 Final Initial $$'!M62/'FY21 FTE'!M$120</f>
        <v>1</v>
      </c>
      <c r="N62" s="28">
        <f>'FY21 Final Initial $$'!N62/'FY21 FTE'!N$120</f>
        <v>1</v>
      </c>
      <c r="O62" s="28">
        <f>'FY21 Final Initial $$'!O62/'FY21 FTE'!O$120</f>
        <v>1.9</v>
      </c>
      <c r="P62" s="28">
        <f>'FY21 Final Initial $$'!P62/'FY21 FTE'!P$120</f>
        <v>0</v>
      </c>
      <c r="Q62" s="28">
        <f>'FY21 Final Initial $$'!Q62/'FY21 FTE'!Q$120</f>
        <v>0</v>
      </c>
      <c r="R62" s="28">
        <f>'FY21 Final Initial $$'!R62/'FY21 FTE'!R$120</f>
        <v>0</v>
      </c>
      <c r="S62" s="28">
        <f>'FY21 Final Initial $$'!S62/'FY21 FTE'!S$120</f>
        <v>1</v>
      </c>
      <c r="T62" s="28">
        <f>'FY21 Final Initial $$'!T62/'FY21 FTE'!T$120</f>
        <v>1</v>
      </c>
      <c r="U62" s="28">
        <f>'FY21 Final Initial $$'!U62/'FY21 FTE'!U$120</f>
        <v>4</v>
      </c>
      <c r="V62" s="28">
        <f>'FY21 Final Initial $$'!V62/'FY21 FTE'!V$120</f>
        <v>1</v>
      </c>
      <c r="W62" s="28">
        <f>'FY21 Final Initial $$'!W62/'FY21 FTE'!W$120</f>
        <v>0</v>
      </c>
      <c r="X62" s="28">
        <f>'FY21 Final Initial $$'!X62/'FY21 FTE'!X$120</f>
        <v>0</v>
      </c>
      <c r="Y62" s="28">
        <f>'FY21 Final Initial $$'!Y62/'FY21 FTE'!Y$120</f>
        <v>0</v>
      </c>
      <c r="Z62" s="28">
        <f>'FY21 Final Initial $$'!Z62/'FY21 FTE'!Z$120</f>
        <v>0</v>
      </c>
      <c r="AA62" s="28">
        <f>'FY21 Final Initial $$'!AA62/'FY21 FTE'!AA$120</f>
        <v>0</v>
      </c>
      <c r="AB62" s="28">
        <f>'FY21 Final Initial $$'!AB62/'FY21 FTE'!AB$120</f>
        <v>0</v>
      </c>
      <c r="AC62" s="28">
        <f>'FY21 Final Initial $$'!AC62/'FY21 FTE'!AC$120</f>
        <v>0</v>
      </c>
      <c r="AD62" s="28">
        <f>'FY21 Final Initial $$'!AD62/'FY21 FTE'!AD$120</f>
        <v>0</v>
      </c>
      <c r="AE62" s="28">
        <f>'FY21 Final Initial $$'!AE62/'FY21 FTE'!AE$120</f>
        <v>0</v>
      </c>
      <c r="AF62" s="28">
        <f>'FY21 Final Initial $$'!AF62/'FY21 FTE'!AF$120</f>
        <v>0</v>
      </c>
      <c r="AG62" s="28">
        <f>'FY21 Final Initial $$'!AG62/'FY21 FTE'!AG$120</f>
        <v>0</v>
      </c>
      <c r="AH62" s="28">
        <f>'FY21 Final Initial $$'!AH62/'FY21 FTE'!AH$120</f>
        <v>0</v>
      </c>
      <c r="AI62" s="28">
        <f>'FY21 Final Initial $$'!AI62/'FY21 FTE'!AI$120</f>
        <v>0</v>
      </c>
      <c r="AJ62" s="28">
        <f>'FY21 Final Initial $$'!AJ62/'FY21 FTE'!AJ$120</f>
        <v>0</v>
      </c>
      <c r="AK62" s="28">
        <f>'FY21 Final Initial $$'!AK62/'FY21 FTE'!AK$120</f>
        <v>0</v>
      </c>
      <c r="AL62" s="28">
        <f>'FY21 Final Initial $$'!AL62/'FY21 FTE'!AL$120</f>
        <v>0</v>
      </c>
      <c r="AM62" s="28">
        <f>'FY21 Final Initial $$'!AM62/'FY21 FTE'!AM$120</f>
        <v>0</v>
      </c>
      <c r="AN62" s="28">
        <f>'FY21 Final Initial $$'!AN62/'FY21 FTE'!AN$120</f>
        <v>0</v>
      </c>
      <c r="AO62" s="28">
        <f>'FY21 Final Initial $$'!AO62/'FY21 FTE'!AO$120</f>
        <v>12.1</v>
      </c>
      <c r="AP62" s="28">
        <f>'FY21 Final Initial $$'!AP62/'FY21 FTE'!AP$120</f>
        <v>11.7</v>
      </c>
      <c r="AQ62" s="28">
        <f>'FY21 Final Initial $$'!AQ62/'FY21 FTE'!AQ$120</f>
        <v>11</v>
      </c>
      <c r="AR62" s="28">
        <f>'FY21 Final Initial $$'!AR62/'FY21 FTE'!AR$120</f>
        <v>0</v>
      </c>
      <c r="AS62" s="28">
        <f>'FY21 Final Initial $$'!AS62/'FY21 FTE'!AS$120</f>
        <v>0</v>
      </c>
      <c r="AT62" s="28">
        <f>'FY21 Final Initial $$'!AT62/'FY21 FTE'!AT$120</f>
        <v>0</v>
      </c>
      <c r="AU62" s="28">
        <f>'FY21 Final Initial $$'!AU62/'FY21 FTE'!AU$120</f>
        <v>0</v>
      </c>
      <c r="AV62" s="28">
        <f>'FY21 Final Initial $$'!AV62/'FY21 FTE'!AV$120</f>
        <v>0</v>
      </c>
      <c r="AW62" s="28">
        <f>'FY21 Final Initial $$'!AW62/'FY21 FTE'!AW$120</f>
        <v>0</v>
      </c>
      <c r="AX62" s="28">
        <f>'FY21 Final Initial $$'!AX62/'FY21 FTE'!AX$120</f>
        <v>0</v>
      </c>
      <c r="AY62" s="28">
        <f>'FY21 Final Initial $$'!AY62/'FY21 FTE'!AY$120</f>
        <v>1</v>
      </c>
      <c r="AZ62" s="28">
        <f>'FY21 Final Initial $$'!AZ62/'FY21 FTE'!AZ$120</f>
        <v>2</v>
      </c>
      <c r="BA62" s="28">
        <f>'FY21 Final Initial $$'!BA62/'FY21 FTE'!BA$120</f>
        <v>13</v>
      </c>
      <c r="BB62" s="28">
        <f>'FY21 Final Initial $$'!BB62/'FY21 FTE'!BB$120</f>
        <v>2</v>
      </c>
      <c r="BC62" s="28">
        <f>'FY21 Final Initial $$'!BC62/'FY21 FTE'!BC$120</f>
        <v>0</v>
      </c>
      <c r="BD62" s="28">
        <f>'FY21 Final Initial $$'!BD62/'FY21 FTE'!BD$120</f>
        <v>0</v>
      </c>
      <c r="BE62" s="28">
        <f>'FY21 Final Initial $$'!BE62/'FY21 FTE'!BE$120</f>
        <v>14</v>
      </c>
      <c r="BF62" s="28">
        <f>'FY21 Final Initial $$'!BF62/'FY21 FTE'!BF$120</f>
        <v>1</v>
      </c>
      <c r="BG62" s="28">
        <f>'FY21 Final Initial $$'!BG62/'FY21 FTE'!BG$120</f>
        <v>3</v>
      </c>
      <c r="BH62" s="28">
        <f>'FY21 Final Initial $$'!BH62/'FY21 FTE'!BH$120</f>
        <v>0</v>
      </c>
      <c r="BI62" s="28">
        <f>'FY21 Final Initial $$'!BI62/'FY21 FTE'!BI$120</f>
        <v>0</v>
      </c>
      <c r="BJ62" s="28">
        <f>'FY21 Final Initial $$'!BJ62/'FY21 FTE'!BJ$120</f>
        <v>0</v>
      </c>
      <c r="BK62" s="20">
        <v>0</v>
      </c>
      <c r="BL62" s="20"/>
      <c r="BM62" s="20"/>
      <c r="BN62" s="20">
        <v>238231.74</v>
      </c>
      <c r="BO62" s="20">
        <v>3941.28</v>
      </c>
      <c r="BP62" s="20">
        <v>0</v>
      </c>
      <c r="BQ62" s="28">
        <f>'FY21 Final Initial $$'!BQ62/'FY21 FTE'!BQ$120</f>
        <v>0</v>
      </c>
      <c r="BR62" s="28">
        <f>'FY21 Final Initial $$'!BR62/'FY21 FTE'!BR$120</f>
        <v>0</v>
      </c>
      <c r="BS62" s="28">
        <f>'FY21 Final Initial $$'!BS62/'FY21 FTE'!BS$120</f>
        <v>0</v>
      </c>
      <c r="BT62" s="28">
        <f>'FY21 Final Initial $$'!BT62/'FY21 FTE'!BT$120</f>
        <v>0</v>
      </c>
      <c r="BU62" s="28">
        <f>'FY21 Final Initial $$'!BU62/'FY21 FTE'!BU$120</f>
        <v>0</v>
      </c>
      <c r="BV62" s="28">
        <f>'FY21 Final Initial $$'!BV62/'FY21 FTE'!BV$120</f>
        <v>0</v>
      </c>
      <c r="BW62" s="28">
        <f>'FY21 Final Initial $$'!BW62/'FY21 FTE'!BW$120</f>
        <v>0</v>
      </c>
      <c r="BX62" s="20">
        <v>0</v>
      </c>
      <c r="BY62" s="20">
        <v>0</v>
      </c>
      <c r="BZ62" s="20">
        <v>0</v>
      </c>
      <c r="CA62" s="20">
        <v>0</v>
      </c>
      <c r="CB62" s="28">
        <f>'FY21 Final Initial $$'!CB62/'FY21 FTE'!CB$120</f>
        <v>0</v>
      </c>
      <c r="CC62" s="28">
        <f>'FY21 Final Initial $$'!CC62/'FY21 FTE'!CC$120</f>
        <v>0</v>
      </c>
      <c r="CD62" s="20">
        <v>0</v>
      </c>
      <c r="CE62" s="28">
        <f>'FY21 Final Initial $$'!CE62/'FY21 FTE'!CE$120</f>
        <v>0</v>
      </c>
      <c r="CF62" s="28">
        <f>'FY21 Final Initial $$'!CF62/'FY21 FTE'!CF$120</f>
        <v>0</v>
      </c>
      <c r="CG62" s="28">
        <f>'FY21 Final Initial $$'!CG62/'FY21 FTE'!CG$120</f>
        <v>0</v>
      </c>
      <c r="CH62" s="28">
        <f>'FY21 Final Initial $$'!CH62/'FY21 FTE'!CH$120</f>
        <v>0</v>
      </c>
      <c r="CI62" s="28">
        <f>'FY21 Final Initial $$'!CI62/'FY21 FTE'!CI$120</f>
        <v>0</v>
      </c>
      <c r="CJ62" s="28">
        <f>'FY21 Final Initial $$'!CJ62/'FY21 FTE'!CJ$120</f>
        <v>0</v>
      </c>
      <c r="CK62" s="28">
        <f>'FY21 Final Initial $$'!CK62/'FY21 FTE'!CK$120</f>
        <v>3</v>
      </c>
      <c r="CL62" s="28">
        <f>'FY21 Final Initial $$'!CL62/'FY21 FTE'!CL$120</f>
        <v>0</v>
      </c>
      <c r="CM62" s="20">
        <v>23000</v>
      </c>
      <c r="CN62" s="20">
        <v>5000</v>
      </c>
      <c r="CO62" s="20">
        <v>355889.44</v>
      </c>
      <c r="CP62" s="20">
        <v>100000</v>
      </c>
      <c r="CQ62" s="28">
        <f>'FY21 Final Initial $$'!CQ62/'FY21 FTE'!CQ$120</f>
        <v>0</v>
      </c>
      <c r="CR62" s="20">
        <v>0</v>
      </c>
      <c r="CS62" s="20">
        <v>6980</v>
      </c>
      <c r="CT62" s="20">
        <v>39240</v>
      </c>
      <c r="CU62" s="20">
        <v>56092.877966101696</v>
      </c>
      <c r="CV62" s="28">
        <f>'FY21 Final Initial $$'!CV62/'FY21 FTE'!CV$120</f>
        <v>0</v>
      </c>
      <c r="CW62" s="28">
        <f>'FY21 Final Initial $$'!CW62/'FY21 FTE'!CW$120</f>
        <v>0</v>
      </c>
      <c r="CX62" s="20">
        <v>0</v>
      </c>
      <c r="CY62" s="28">
        <f>'FY21 Final Initial $$'!CY62/'FY21 FTE'!CY$120</f>
        <v>1</v>
      </c>
      <c r="CZ62" s="20">
        <v>0</v>
      </c>
      <c r="DA62" s="20">
        <v>0</v>
      </c>
      <c r="DB62" s="20">
        <v>76600</v>
      </c>
      <c r="DC62" s="20">
        <v>155902.72166559199</v>
      </c>
      <c r="DD62" s="20">
        <v>0</v>
      </c>
      <c r="DE62" s="20">
        <v>0</v>
      </c>
      <c r="DF62" s="20">
        <v>0</v>
      </c>
      <c r="DG62" s="20">
        <v>0</v>
      </c>
      <c r="DH62" s="28">
        <f>'FY21 Final Initial $$'!DH62/'FY21 FTE'!DH$120</f>
        <v>0</v>
      </c>
      <c r="DI62" s="20"/>
      <c r="DJ62" s="20">
        <v>54600.000014528632</v>
      </c>
      <c r="DK62" s="22">
        <v>0</v>
      </c>
      <c r="DL62" s="20">
        <v>0</v>
      </c>
      <c r="DM62" s="20">
        <v>0</v>
      </c>
      <c r="DN62" s="20">
        <v>10773721.896458862</v>
      </c>
      <c r="DO62" s="29">
        <f t="shared" si="1"/>
        <v>0</v>
      </c>
      <c r="DP62" s="29">
        <f t="shared" si="1"/>
        <v>0</v>
      </c>
      <c r="DQ62" s="29">
        <f t="shared" si="2"/>
        <v>34.799999999999997</v>
      </c>
      <c r="DR62" s="29">
        <f t="shared" si="3"/>
        <v>33</v>
      </c>
      <c r="DS62" s="29">
        <f t="shared" si="4"/>
        <v>3</v>
      </c>
    </row>
    <row r="63" spans="1:123" x14ac:dyDescent="0.25">
      <c r="A63" s="18">
        <v>308</v>
      </c>
      <c r="B63" t="s">
        <v>203</v>
      </c>
      <c r="C63" t="s">
        <v>135</v>
      </c>
      <c r="D63">
        <v>8</v>
      </c>
      <c r="E63">
        <v>242</v>
      </c>
      <c r="F63" s="19">
        <f t="shared" si="0"/>
        <v>0.8223140495867769</v>
      </c>
      <c r="G63">
        <v>199</v>
      </c>
      <c r="H63" s="28">
        <f>'FY21 Final Initial $$'!H63/'FY21 FTE'!H$120</f>
        <v>1</v>
      </c>
      <c r="I63" s="28">
        <f>'FY21 Final Initial $$'!I63/'FY21 FTE'!I$120</f>
        <v>1</v>
      </c>
      <c r="J63" s="28">
        <f>'FY21 Final Initial $$'!J63/'FY21 FTE'!J$120</f>
        <v>0</v>
      </c>
      <c r="K63" s="28">
        <f>'FY21 Final Initial $$'!K63/'FY21 FTE'!K$120</f>
        <v>0</v>
      </c>
      <c r="L63" s="28">
        <f>'FY21 Final Initial $$'!L63/'FY21 FTE'!L$120</f>
        <v>0</v>
      </c>
      <c r="M63" s="28">
        <f>'FY21 Final Initial $$'!M63/'FY21 FTE'!M$120</f>
        <v>0.5</v>
      </c>
      <c r="N63" s="28">
        <f>'FY21 Final Initial $$'!N63/'FY21 FTE'!N$120</f>
        <v>1</v>
      </c>
      <c r="O63" s="28">
        <f>'FY21 Final Initial $$'!O63/'FY21 FTE'!O$120</f>
        <v>0</v>
      </c>
      <c r="P63" s="28">
        <f>'FY21 Final Initial $$'!P63/'FY21 FTE'!P$120</f>
        <v>0</v>
      </c>
      <c r="Q63" s="28">
        <f>'FY21 Final Initial $$'!Q63/'FY21 FTE'!Q$120</f>
        <v>0</v>
      </c>
      <c r="R63" s="28">
        <f>'FY21 Final Initial $$'!R63/'FY21 FTE'!R$120</f>
        <v>0</v>
      </c>
      <c r="S63" s="28">
        <f>'FY21 Final Initial $$'!S63/'FY21 FTE'!S$120</f>
        <v>1</v>
      </c>
      <c r="T63" s="28">
        <f>'FY21 Final Initial $$'!T63/'FY21 FTE'!T$120</f>
        <v>1</v>
      </c>
      <c r="U63" s="28">
        <f>'FY21 Final Initial $$'!U63/'FY21 FTE'!U$120</f>
        <v>1</v>
      </c>
      <c r="V63" s="28">
        <f>'FY21 Final Initial $$'!V63/'FY21 FTE'!V$120</f>
        <v>0.5</v>
      </c>
      <c r="W63" s="28">
        <f>'FY21 Final Initial $$'!W63/'FY21 FTE'!W$120</f>
        <v>1</v>
      </c>
      <c r="X63" s="28">
        <f>'FY21 Final Initial $$'!X63/'FY21 FTE'!X$120</f>
        <v>1</v>
      </c>
      <c r="Y63" s="28">
        <f>'FY21 Final Initial $$'!Y63/'FY21 FTE'!Y$120</f>
        <v>1</v>
      </c>
      <c r="Z63" s="28">
        <f>'FY21 Final Initial $$'!Z63/'FY21 FTE'!Z$120</f>
        <v>0</v>
      </c>
      <c r="AA63" s="28">
        <f>'FY21 Final Initial $$'!AA63/'FY21 FTE'!AA$120</f>
        <v>0</v>
      </c>
      <c r="AB63" s="28">
        <f>'FY21 Final Initial $$'!AB63/'FY21 FTE'!AB$120</f>
        <v>2</v>
      </c>
      <c r="AC63" s="28">
        <f>'FY21 Final Initial $$'!AC63/'FY21 FTE'!AC$120</f>
        <v>2</v>
      </c>
      <c r="AD63" s="28">
        <f>'FY21 Final Initial $$'!AD63/'FY21 FTE'!AD$120</f>
        <v>0</v>
      </c>
      <c r="AE63" s="28">
        <f>'FY21 Final Initial $$'!AE63/'FY21 FTE'!AE$120</f>
        <v>0</v>
      </c>
      <c r="AF63" s="28">
        <f>'FY21 Final Initial $$'!AF63/'FY21 FTE'!AF$120</f>
        <v>2</v>
      </c>
      <c r="AG63" s="28">
        <f>'FY21 Final Initial $$'!AG63/'FY21 FTE'!AG$120</f>
        <v>2</v>
      </c>
      <c r="AH63" s="28">
        <f>'FY21 Final Initial $$'!AH63/'FY21 FTE'!AH$120</f>
        <v>2</v>
      </c>
      <c r="AI63" s="28">
        <f>'FY21 Final Initial $$'!AI63/'FY21 FTE'!AI$120</f>
        <v>2</v>
      </c>
      <c r="AJ63" s="28">
        <f>'FY21 Final Initial $$'!AJ63/'FY21 FTE'!AJ$120</f>
        <v>1</v>
      </c>
      <c r="AK63" s="28">
        <f>'FY21 Final Initial $$'!AK63/'FY21 FTE'!AK$120</f>
        <v>2</v>
      </c>
      <c r="AL63" s="28">
        <f>'FY21 Final Initial $$'!AL63/'FY21 FTE'!AL$120</f>
        <v>1</v>
      </c>
      <c r="AM63" s="28">
        <f>'FY21 Final Initial $$'!AM63/'FY21 FTE'!AM$120</f>
        <v>2</v>
      </c>
      <c r="AN63" s="28">
        <f>'FY21 Final Initial $$'!AN63/'FY21 FTE'!AN$120</f>
        <v>2.0000000000000027</v>
      </c>
      <c r="AO63" s="28">
        <f>'FY21 Final Initial $$'!AO63/'FY21 FTE'!AO$120</f>
        <v>0</v>
      </c>
      <c r="AP63" s="28">
        <f>'FY21 Final Initial $$'!AP63/'FY21 FTE'!AP$120</f>
        <v>0</v>
      </c>
      <c r="AQ63" s="28">
        <f>'FY21 Final Initial $$'!AQ63/'FY21 FTE'!AQ$120</f>
        <v>0</v>
      </c>
      <c r="AR63" s="28">
        <f>'FY21 Final Initial $$'!AR63/'FY21 FTE'!AR$120</f>
        <v>0</v>
      </c>
      <c r="AS63" s="28">
        <f>'FY21 Final Initial $$'!AS63/'FY21 FTE'!AS$120</f>
        <v>0</v>
      </c>
      <c r="AT63" s="28">
        <f>'FY21 Final Initial $$'!AT63/'FY21 FTE'!AT$120</f>
        <v>0</v>
      </c>
      <c r="AU63" s="28">
        <f>'FY21 Final Initial $$'!AU63/'FY21 FTE'!AU$120</f>
        <v>0</v>
      </c>
      <c r="AV63" s="28">
        <f>'FY21 Final Initial $$'!AV63/'FY21 FTE'!AV$120</f>
        <v>0</v>
      </c>
      <c r="AW63" s="28">
        <f>'FY21 Final Initial $$'!AW63/'FY21 FTE'!AW$120</f>
        <v>0</v>
      </c>
      <c r="AX63" s="28">
        <f>'FY21 Final Initial $$'!AX63/'FY21 FTE'!AX$120</f>
        <v>0</v>
      </c>
      <c r="AY63" s="28">
        <f>'FY21 Final Initial $$'!AY63/'FY21 FTE'!AY$120</f>
        <v>1</v>
      </c>
      <c r="AZ63" s="28">
        <f>'FY21 Final Initial $$'!AZ63/'FY21 FTE'!AZ$120</f>
        <v>1</v>
      </c>
      <c r="BA63" s="28">
        <f>'FY21 Final Initial $$'!BA63/'FY21 FTE'!BA$120</f>
        <v>5</v>
      </c>
      <c r="BB63" s="28">
        <f>'FY21 Final Initial $$'!BB63/'FY21 FTE'!BB$120</f>
        <v>2</v>
      </c>
      <c r="BC63" s="28">
        <f>'FY21 Final Initial $$'!BC63/'FY21 FTE'!BC$120</f>
        <v>2</v>
      </c>
      <c r="BD63" s="28">
        <f>'FY21 Final Initial $$'!BD63/'FY21 FTE'!BD$120</f>
        <v>0</v>
      </c>
      <c r="BE63" s="28">
        <f>'FY21 Final Initial $$'!BE63/'FY21 FTE'!BE$120</f>
        <v>0</v>
      </c>
      <c r="BF63" s="28">
        <f>'FY21 Final Initial $$'!BF63/'FY21 FTE'!BF$120</f>
        <v>0</v>
      </c>
      <c r="BG63" s="28">
        <f>'FY21 Final Initial $$'!BG63/'FY21 FTE'!BG$120</f>
        <v>0</v>
      </c>
      <c r="BH63" s="28">
        <f>'FY21 Final Initial $$'!BH63/'FY21 FTE'!BH$120</f>
        <v>3</v>
      </c>
      <c r="BI63" s="28">
        <f>'FY21 Final Initial $$'!BI63/'FY21 FTE'!BI$120</f>
        <v>3</v>
      </c>
      <c r="BJ63" s="28">
        <f>'FY21 Final Initial $$'!BJ63/'FY21 FTE'!BJ$120</f>
        <v>1</v>
      </c>
      <c r="BK63" s="20">
        <v>0</v>
      </c>
      <c r="BL63" s="20"/>
      <c r="BM63" s="20"/>
      <c r="BN63" s="20">
        <v>99298.74</v>
      </c>
      <c r="BO63" s="20">
        <v>1642.79</v>
      </c>
      <c r="BP63" s="20">
        <v>0</v>
      </c>
      <c r="BQ63" s="28">
        <f>'FY21 Final Initial $$'!BQ63/'FY21 FTE'!BQ$120</f>
        <v>0</v>
      </c>
      <c r="BR63" s="28">
        <f>'FY21 Final Initial $$'!BR63/'FY21 FTE'!BR$120</f>
        <v>0</v>
      </c>
      <c r="BS63" s="28">
        <f>'FY21 Final Initial $$'!BS63/'FY21 FTE'!BS$120</f>
        <v>0</v>
      </c>
      <c r="BT63" s="28">
        <f>'FY21 Final Initial $$'!BT63/'FY21 FTE'!BT$120</f>
        <v>0</v>
      </c>
      <c r="BU63" s="28">
        <f>'FY21 Final Initial $$'!BU63/'FY21 FTE'!BU$120</f>
        <v>0</v>
      </c>
      <c r="BV63" s="28">
        <f>'FY21 Final Initial $$'!BV63/'FY21 FTE'!BV$120</f>
        <v>0</v>
      </c>
      <c r="BW63" s="28">
        <f>'FY21 Final Initial $$'!BW63/'FY21 FTE'!BW$120</f>
        <v>0</v>
      </c>
      <c r="BX63" s="20">
        <v>0</v>
      </c>
      <c r="BY63" s="20">
        <v>0</v>
      </c>
      <c r="BZ63" s="20">
        <v>0</v>
      </c>
      <c r="CA63" s="20">
        <v>0</v>
      </c>
      <c r="CB63" s="28">
        <f>'FY21 Final Initial $$'!CB63/'FY21 FTE'!CB$120</f>
        <v>0</v>
      </c>
      <c r="CC63" s="28">
        <f>'FY21 Final Initial $$'!CC63/'FY21 FTE'!CC$120</f>
        <v>0</v>
      </c>
      <c r="CD63" s="20">
        <v>0</v>
      </c>
      <c r="CE63" s="28">
        <f>'FY21 Final Initial $$'!CE63/'FY21 FTE'!CE$120</f>
        <v>0</v>
      </c>
      <c r="CF63" s="28">
        <f>'FY21 Final Initial $$'!CF63/'FY21 FTE'!CF$120</f>
        <v>0</v>
      </c>
      <c r="CG63" s="28">
        <f>'FY21 Final Initial $$'!CG63/'FY21 FTE'!CG$120</f>
        <v>0</v>
      </c>
      <c r="CH63" s="28">
        <f>'FY21 Final Initial $$'!CH63/'FY21 FTE'!CH$120</f>
        <v>0</v>
      </c>
      <c r="CI63" s="28">
        <f>'FY21 Final Initial $$'!CI63/'FY21 FTE'!CI$120</f>
        <v>0</v>
      </c>
      <c r="CJ63" s="28">
        <f>'FY21 Final Initial $$'!CJ63/'FY21 FTE'!CJ$120</f>
        <v>0</v>
      </c>
      <c r="CK63" s="28">
        <f>'FY21 Final Initial $$'!CK63/'FY21 FTE'!CK$120</f>
        <v>0</v>
      </c>
      <c r="CL63" s="28">
        <f>'FY21 Final Initial $$'!CL63/'FY21 FTE'!CL$120</f>
        <v>0</v>
      </c>
      <c r="CM63" s="20">
        <v>0</v>
      </c>
      <c r="CN63" s="20">
        <v>0</v>
      </c>
      <c r="CO63" s="20">
        <v>55921.759999999995</v>
      </c>
      <c r="CP63" s="20">
        <v>0</v>
      </c>
      <c r="CQ63" s="28">
        <f>'FY21 Final Initial $$'!CQ63/'FY21 FTE'!CQ$120</f>
        <v>0</v>
      </c>
      <c r="CR63" s="20">
        <v>0</v>
      </c>
      <c r="CS63" s="20">
        <v>7960</v>
      </c>
      <c r="CT63" s="20">
        <v>0</v>
      </c>
      <c r="CU63" s="20">
        <v>14307.01923076923</v>
      </c>
      <c r="CV63" s="28">
        <f>'FY21 Final Initial $$'!CV63/'FY21 FTE'!CV$120</f>
        <v>0</v>
      </c>
      <c r="CW63" s="28">
        <f>'FY21 Final Initial $$'!CW63/'FY21 FTE'!CW$120</f>
        <v>0</v>
      </c>
      <c r="CX63" s="20">
        <v>0</v>
      </c>
      <c r="CY63" s="28">
        <f>'FY21 Final Initial $$'!CY63/'FY21 FTE'!CY$120</f>
        <v>0</v>
      </c>
      <c r="CZ63" s="20">
        <v>0</v>
      </c>
      <c r="DA63" s="20">
        <v>0</v>
      </c>
      <c r="DB63" s="20">
        <v>24200</v>
      </c>
      <c r="DC63" s="20">
        <v>59173.310599013777</v>
      </c>
      <c r="DD63" s="20">
        <v>0</v>
      </c>
      <c r="DE63" s="20">
        <v>0</v>
      </c>
      <c r="DF63" s="20">
        <v>13859</v>
      </c>
      <c r="DG63" s="20">
        <v>0</v>
      </c>
      <c r="DH63" s="28">
        <f>'FY21 Final Initial $$'!DH63/'FY21 FTE'!DH$120</f>
        <v>0</v>
      </c>
      <c r="DI63" s="20"/>
      <c r="DJ63" s="20">
        <v>19174.99998062849</v>
      </c>
      <c r="DK63" s="22">
        <v>0</v>
      </c>
      <c r="DL63" s="20">
        <v>0</v>
      </c>
      <c r="DM63" s="20">
        <v>0</v>
      </c>
      <c r="DN63" s="20">
        <v>4053238.5265814532</v>
      </c>
      <c r="DO63" s="29">
        <f t="shared" si="1"/>
        <v>6</v>
      </c>
      <c r="DP63" s="29">
        <f t="shared" si="1"/>
        <v>6</v>
      </c>
      <c r="DQ63" s="29">
        <f t="shared" si="2"/>
        <v>8.0000000000000036</v>
      </c>
      <c r="DR63" s="29">
        <f t="shared" si="3"/>
        <v>7</v>
      </c>
      <c r="DS63" s="29">
        <f t="shared" si="4"/>
        <v>2</v>
      </c>
    </row>
    <row r="64" spans="1:123" x14ac:dyDescent="0.25">
      <c r="A64" s="18">
        <v>273</v>
      </c>
      <c r="B64" t="s">
        <v>204</v>
      </c>
      <c r="C64" t="s">
        <v>135</v>
      </c>
      <c r="D64">
        <v>3</v>
      </c>
      <c r="E64">
        <v>456</v>
      </c>
      <c r="F64" s="19">
        <f t="shared" si="0"/>
        <v>3.5087719298245612E-2</v>
      </c>
      <c r="G64">
        <v>16</v>
      </c>
      <c r="H64" s="28">
        <f>'FY21 Final Initial $$'!H64/'FY21 FTE'!H$120</f>
        <v>1</v>
      </c>
      <c r="I64" s="28">
        <f>'FY21 Final Initial $$'!I64/'FY21 FTE'!I$120</f>
        <v>1</v>
      </c>
      <c r="J64" s="28">
        <f>'FY21 Final Initial $$'!J64/'FY21 FTE'!J$120</f>
        <v>1.1000000000000001</v>
      </c>
      <c r="K64" s="28">
        <f>'FY21 Final Initial $$'!K64/'FY21 FTE'!K$120</f>
        <v>0</v>
      </c>
      <c r="L64" s="28">
        <f>'FY21 Final Initial $$'!L64/'FY21 FTE'!L$120</f>
        <v>0</v>
      </c>
      <c r="M64" s="28">
        <f>'FY21 Final Initial $$'!M64/'FY21 FTE'!M$120</f>
        <v>1</v>
      </c>
      <c r="N64" s="28">
        <f>'FY21 Final Initial $$'!N64/'FY21 FTE'!N$120</f>
        <v>1</v>
      </c>
      <c r="O64" s="28">
        <f>'FY21 Final Initial $$'!O64/'FY21 FTE'!O$120</f>
        <v>1.1000000000000001</v>
      </c>
      <c r="P64" s="28">
        <f>'FY21 Final Initial $$'!P64/'FY21 FTE'!P$120</f>
        <v>0</v>
      </c>
      <c r="Q64" s="28">
        <f>'FY21 Final Initial $$'!Q64/'FY21 FTE'!Q$120</f>
        <v>0</v>
      </c>
      <c r="R64" s="28">
        <f>'FY21 Final Initial $$'!R64/'FY21 FTE'!R$120</f>
        <v>0</v>
      </c>
      <c r="S64" s="28">
        <f>'FY21 Final Initial $$'!S64/'FY21 FTE'!S$120</f>
        <v>1</v>
      </c>
      <c r="T64" s="28">
        <f>'FY21 Final Initial $$'!T64/'FY21 FTE'!T$120</f>
        <v>1</v>
      </c>
      <c r="U64" s="28">
        <f>'FY21 Final Initial $$'!U64/'FY21 FTE'!U$120</f>
        <v>2</v>
      </c>
      <c r="V64" s="28">
        <f>'FY21 Final Initial $$'!V64/'FY21 FTE'!V$120</f>
        <v>1</v>
      </c>
      <c r="W64" s="28">
        <f>'FY21 Final Initial $$'!W64/'FY21 FTE'!W$120</f>
        <v>1</v>
      </c>
      <c r="X64" s="28">
        <f>'FY21 Final Initial $$'!X64/'FY21 FTE'!X$120</f>
        <v>1</v>
      </c>
      <c r="Y64" s="28">
        <f>'FY21 Final Initial $$'!Y64/'FY21 FTE'!Y$120</f>
        <v>1</v>
      </c>
      <c r="Z64" s="28">
        <f>'FY21 Final Initial $$'!Z64/'FY21 FTE'!Z$120</f>
        <v>1.5</v>
      </c>
      <c r="AA64" s="28">
        <f>'FY21 Final Initial $$'!AA64/'FY21 FTE'!AA$120</f>
        <v>0</v>
      </c>
      <c r="AB64" s="28">
        <f>'FY21 Final Initial $$'!AB64/'FY21 FTE'!AB$120</f>
        <v>0</v>
      </c>
      <c r="AC64" s="28">
        <f>'FY21 Final Initial $$'!AC64/'FY21 FTE'!AC$120</f>
        <v>0</v>
      </c>
      <c r="AD64" s="28">
        <f>'FY21 Final Initial $$'!AD64/'FY21 FTE'!AD$120</f>
        <v>0</v>
      </c>
      <c r="AE64" s="28">
        <f>'FY21 Final Initial $$'!AE64/'FY21 FTE'!AE$120</f>
        <v>0</v>
      </c>
      <c r="AF64" s="28">
        <f>'FY21 Final Initial $$'!AF64/'FY21 FTE'!AF$120</f>
        <v>2</v>
      </c>
      <c r="AG64" s="28">
        <f>'FY21 Final Initial $$'!AG64/'FY21 FTE'!AG$120</f>
        <v>2</v>
      </c>
      <c r="AH64" s="28">
        <f>'FY21 Final Initial $$'!AH64/'FY21 FTE'!AH$120</f>
        <v>3</v>
      </c>
      <c r="AI64" s="28">
        <f>'FY21 Final Initial $$'!AI64/'FY21 FTE'!AI$120</f>
        <v>3</v>
      </c>
      <c r="AJ64" s="28">
        <f>'FY21 Final Initial $$'!AJ64/'FY21 FTE'!AJ$120</f>
        <v>4</v>
      </c>
      <c r="AK64" s="28">
        <f>'FY21 Final Initial $$'!AK64/'FY21 FTE'!AK$120</f>
        <v>3</v>
      </c>
      <c r="AL64" s="28">
        <f>'FY21 Final Initial $$'!AL64/'FY21 FTE'!AL$120</f>
        <v>3</v>
      </c>
      <c r="AM64" s="28">
        <f>'FY21 Final Initial $$'!AM64/'FY21 FTE'!AM$120</f>
        <v>3</v>
      </c>
      <c r="AN64" s="28">
        <f>'FY21 Final Initial $$'!AN64/'FY21 FTE'!AN$120</f>
        <v>3.000000000000004</v>
      </c>
      <c r="AO64" s="28">
        <f>'FY21 Final Initial $$'!AO64/'FY21 FTE'!AO$120</f>
        <v>0</v>
      </c>
      <c r="AP64" s="28">
        <f>'FY21 Final Initial $$'!AP64/'FY21 FTE'!AP$120</f>
        <v>0</v>
      </c>
      <c r="AQ64" s="28">
        <f>'FY21 Final Initial $$'!AQ64/'FY21 FTE'!AQ$120</f>
        <v>0</v>
      </c>
      <c r="AR64" s="28">
        <f>'FY21 Final Initial $$'!AR64/'FY21 FTE'!AR$120</f>
        <v>0</v>
      </c>
      <c r="AS64" s="28">
        <f>'FY21 Final Initial $$'!AS64/'FY21 FTE'!AS$120</f>
        <v>0</v>
      </c>
      <c r="AT64" s="28">
        <f>'FY21 Final Initial $$'!AT64/'FY21 FTE'!AT$120</f>
        <v>0</v>
      </c>
      <c r="AU64" s="28">
        <f>'FY21 Final Initial $$'!AU64/'FY21 FTE'!AU$120</f>
        <v>0</v>
      </c>
      <c r="AV64" s="28">
        <f>'FY21 Final Initial $$'!AV64/'FY21 FTE'!AV$120</f>
        <v>0</v>
      </c>
      <c r="AW64" s="28">
        <f>'FY21 Final Initial $$'!AW64/'FY21 FTE'!AW$120</f>
        <v>0</v>
      </c>
      <c r="AX64" s="28">
        <f>'FY21 Final Initial $$'!AX64/'FY21 FTE'!AX$120</f>
        <v>0</v>
      </c>
      <c r="AY64" s="28">
        <f>'FY21 Final Initial $$'!AY64/'FY21 FTE'!AY$120</f>
        <v>0.5</v>
      </c>
      <c r="AZ64" s="28">
        <f>'FY21 Final Initial $$'!AZ64/'FY21 FTE'!AZ$120</f>
        <v>1</v>
      </c>
      <c r="BA64" s="28">
        <f>'FY21 Final Initial $$'!BA64/'FY21 FTE'!BA$120</f>
        <v>3</v>
      </c>
      <c r="BB64" s="28">
        <f>'FY21 Final Initial $$'!BB64/'FY21 FTE'!BB$120</f>
        <v>0</v>
      </c>
      <c r="BC64" s="28">
        <f>'FY21 Final Initial $$'!BC64/'FY21 FTE'!BC$120</f>
        <v>0</v>
      </c>
      <c r="BD64" s="28">
        <f>'FY21 Final Initial $$'!BD64/'FY21 FTE'!BD$120</f>
        <v>0</v>
      </c>
      <c r="BE64" s="28">
        <f>'FY21 Final Initial $$'!BE64/'FY21 FTE'!BE$120</f>
        <v>2.5</v>
      </c>
      <c r="BF64" s="28">
        <f>'FY21 Final Initial $$'!BF64/'FY21 FTE'!BF$120</f>
        <v>0</v>
      </c>
      <c r="BG64" s="28">
        <f>'FY21 Final Initial $$'!BG64/'FY21 FTE'!BG$120</f>
        <v>0</v>
      </c>
      <c r="BH64" s="28">
        <f>'FY21 Final Initial $$'!BH64/'FY21 FTE'!BH$120</f>
        <v>0</v>
      </c>
      <c r="BI64" s="28">
        <f>'FY21 Final Initial $$'!BI64/'FY21 FTE'!BI$120</f>
        <v>0</v>
      </c>
      <c r="BJ64" s="28">
        <f>'FY21 Final Initial $$'!BJ64/'FY21 FTE'!BJ$120</f>
        <v>0</v>
      </c>
      <c r="BK64" s="20">
        <v>0</v>
      </c>
      <c r="BL64" s="20"/>
      <c r="BM64" s="20"/>
      <c r="BN64" s="20">
        <v>0</v>
      </c>
      <c r="BO64" s="20">
        <v>0</v>
      </c>
      <c r="BP64" s="20">
        <v>10650</v>
      </c>
      <c r="BQ64" s="28">
        <f>'FY21 Final Initial $$'!BQ64/'FY21 FTE'!BQ$120</f>
        <v>0</v>
      </c>
      <c r="BR64" s="28">
        <f>'FY21 Final Initial $$'!BR64/'FY21 FTE'!BR$120</f>
        <v>0</v>
      </c>
      <c r="BS64" s="28">
        <f>'FY21 Final Initial $$'!BS64/'FY21 FTE'!BS$120</f>
        <v>0</v>
      </c>
      <c r="BT64" s="28">
        <f>'FY21 Final Initial $$'!BT64/'FY21 FTE'!BT$120</f>
        <v>0</v>
      </c>
      <c r="BU64" s="28">
        <f>'FY21 Final Initial $$'!BU64/'FY21 FTE'!BU$120</f>
        <v>0</v>
      </c>
      <c r="BV64" s="28">
        <f>'FY21 Final Initial $$'!BV64/'FY21 FTE'!BV$120</f>
        <v>0</v>
      </c>
      <c r="BW64" s="28">
        <f>'FY21 Final Initial $$'!BW64/'FY21 FTE'!BW$120</f>
        <v>0</v>
      </c>
      <c r="BX64" s="20">
        <v>0</v>
      </c>
      <c r="BY64" s="20">
        <v>0</v>
      </c>
      <c r="BZ64" s="20">
        <v>0</v>
      </c>
      <c r="CA64" s="20">
        <v>0</v>
      </c>
      <c r="CB64" s="28">
        <f>'FY21 Final Initial $$'!CB64/'FY21 FTE'!CB$120</f>
        <v>0</v>
      </c>
      <c r="CC64" s="28">
        <f>'FY21 Final Initial $$'!CC64/'FY21 FTE'!CC$120</f>
        <v>0</v>
      </c>
      <c r="CD64" s="20">
        <v>0</v>
      </c>
      <c r="CE64" s="28">
        <f>'FY21 Final Initial $$'!CE64/'FY21 FTE'!CE$120</f>
        <v>0</v>
      </c>
      <c r="CF64" s="28">
        <f>'FY21 Final Initial $$'!CF64/'FY21 FTE'!CF$120</f>
        <v>0</v>
      </c>
      <c r="CG64" s="28">
        <f>'FY21 Final Initial $$'!CG64/'FY21 FTE'!CG$120</f>
        <v>0</v>
      </c>
      <c r="CH64" s="28">
        <f>'FY21 Final Initial $$'!CH64/'FY21 FTE'!CH$120</f>
        <v>0</v>
      </c>
      <c r="CI64" s="28">
        <f>'FY21 Final Initial $$'!CI64/'FY21 FTE'!CI$120</f>
        <v>0</v>
      </c>
      <c r="CJ64" s="28">
        <f>'FY21 Final Initial $$'!CJ64/'FY21 FTE'!CJ$120</f>
        <v>0</v>
      </c>
      <c r="CK64" s="28">
        <f>'FY21 Final Initial $$'!CK64/'FY21 FTE'!CK$120</f>
        <v>0</v>
      </c>
      <c r="CL64" s="28">
        <f>'FY21 Final Initial $$'!CL64/'FY21 FTE'!CL$120</f>
        <v>0</v>
      </c>
      <c r="CM64" s="20">
        <v>0</v>
      </c>
      <c r="CN64" s="20">
        <v>0</v>
      </c>
      <c r="CO64" s="20">
        <v>55921.759999999995</v>
      </c>
      <c r="CP64" s="20">
        <v>0</v>
      </c>
      <c r="CQ64" s="28">
        <f>'FY21 Final Initial $$'!CQ64/'FY21 FTE'!CQ$120</f>
        <v>0</v>
      </c>
      <c r="CR64" s="20">
        <v>0</v>
      </c>
      <c r="CS64" s="20">
        <v>0</v>
      </c>
      <c r="CT64" s="20">
        <v>0</v>
      </c>
      <c r="CU64" s="20">
        <v>22546.795327102802</v>
      </c>
      <c r="CV64" s="28">
        <f>'FY21 Final Initial $$'!CV64/'FY21 FTE'!CV$120</f>
        <v>0</v>
      </c>
      <c r="CW64" s="28">
        <f>'FY21 Final Initial $$'!CW64/'FY21 FTE'!CW$120</f>
        <v>0</v>
      </c>
      <c r="CX64" s="20">
        <v>0</v>
      </c>
      <c r="CY64" s="28">
        <f>'FY21 Final Initial $$'!CY64/'FY21 FTE'!CY$120</f>
        <v>0</v>
      </c>
      <c r="CZ64" s="20">
        <v>0</v>
      </c>
      <c r="DA64" s="20">
        <v>0</v>
      </c>
      <c r="DB64" s="20">
        <v>45600</v>
      </c>
      <c r="DC64" s="20">
        <v>77094.566337937911</v>
      </c>
      <c r="DD64" s="20">
        <v>0</v>
      </c>
      <c r="DE64" s="20">
        <v>0</v>
      </c>
      <c r="DF64" s="20">
        <v>0</v>
      </c>
      <c r="DG64" s="20">
        <v>0</v>
      </c>
      <c r="DH64" s="28">
        <f>'FY21 Final Initial $$'!DH64/'FY21 FTE'!DH$120</f>
        <v>0</v>
      </c>
      <c r="DI64" s="20"/>
      <c r="DJ64" s="20">
        <v>1225.0000355299562</v>
      </c>
      <c r="DK64" s="22">
        <v>0</v>
      </c>
      <c r="DL64" s="20">
        <v>0</v>
      </c>
      <c r="DM64" s="20">
        <v>0</v>
      </c>
      <c r="DN64" s="20">
        <v>5001520.5029389495</v>
      </c>
      <c r="DO64" s="29">
        <f t="shared" si="1"/>
        <v>5</v>
      </c>
      <c r="DP64" s="29">
        <f t="shared" si="1"/>
        <v>5</v>
      </c>
      <c r="DQ64" s="29">
        <f t="shared" si="2"/>
        <v>16.000000000000004</v>
      </c>
      <c r="DR64" s="29">
        <f t="shared" si="3"/>
        <v>7</v>
      </c>
      <c r="DS64" s="29">
        <f t="shared" si="4"/>
        <v>0</v>
      </c>
    </row>
    <row r="65" spans="1:123" x14ac:dyDescent="0.25">
      <c r="A65" s="18">
        <v>284</v>
      </c>
      <c r="B65" t="s">
        <v>205</v>
      </c>
      <c r="C65" t="s">
        <v>135</v>
      </c>
      <c r="D65">
        <v>1</v>
      </c>
      <c r="E65">
        <v>468</v>
      </c>
      <c r="F65" s="19">
        <f t="shared" si="0"/>
        <v>0.30982905982905984</v>
      </c>
      <c r="G65">
        <v>145</v>
      </c>
      <c r="H65" s="28">
        <f>'FY21 Final Initial $$'!H65/'FY21 FTE'!H$120</f>
        <v>1</v>
      </c>
      <c r="I65" s="28">
        <f>'FY21 Final Initial $$'!I65/'FY21 FTE'!I$120</f>
        <v>1</v>
      </c>
      <c r="J65" s="28">
        <f>'FY21 Final Initial $$'!J65/'FY21 FTE'!J$120</f>
        <v>1.2</v>
      </c>
      <c r="K65" s="28">
        <f>'FY21 Final Initial $$'!K65/'FY21 FTE'!K$120</f>
        <v>0</v>
      </c>
      <c r="L65" s="28">
        <f>'FY21 Final Initial $$'!L65/'FY21 FTE'!L$120</f>
        <v>0</v>
      </c>
      <c r="M65" s="28">
        <f>'FY21 Final Initial $$'!M65/'FY21 FTE'!M$120</f>
        <v>1</v>
      </c>
      <c r="N65" s="28">
        <f>'FY21 Final Initial $$'!N65/'FY21 FTE'!N$120</f>
        <v>1</v>
      </c>
      <c r="O65" s="28">
        <f>'FY21 Final Initial $$'!O65/'FY21 FTE'!O$120</f>
        <v>1.2</v>
      </c>
      <c r="P65" s="28">
        <f>'FY21 Final Initial $$'!P65/'FY21 FTE'!P$120</f>
        <v>0</v>
      </c>
      <c r="Q65" s="28">
        <f>'FY21 Final Initial $$'!Q65/'FY21 FTE'!Q$120</f>
        <v>0</v>
      </c>
      <c r="R65" s="28">
        <f>'FY21 Final Initial $$'!R65/'FY21 FTE'!R$120</f>
        <v>0</v>
      </c>
      <c r="S65" s="28">
        <f>'FY21 Final Initial $$'!S65/'FY21 FTE'!S$120</f>
        <v>1</v>
      </c>
      <c r="T65" s="28">
        <f>'FY21 Final Initial $$'!T65/'FY21 FTE'!T$120</f>
        <v>1</v>
      </c>
      <c r="U65" s="28">
        <f>'FY21 Final Initial $$'!U65/'FY21 FTE'!U$120</f>
        <v>4</v>
      </c>
      <c r="V65" s="28">
        <f>'FY21 Final Initial $$'!V65/'FY21 FTE'!V$120</f>
        <v>1</v>
      </c>
      <c r="W65" s="28">
        <f>'FY21 Final Initial $$'!W65/'FY21 FTE'!W$120</f>
        <v>1</v>
      </c>
      <c r="X65" s="28">
        <f>'FY21 Final Initial $$'!X65/'FY21 FTE'!X$120</f>
        <v>1</v>
      </c>
      <c r="Y65" s="28">
        <f>'FY21 Final Initial $$'!Y65/'FY21 FTE'!Y$120</f>
        <v>1</v>
      </c>
      <c r="Z65" s="28">
        <f>'FY21 Final Initial $$'!Z65/'FY21 FTE'!Z$120</f>
        <v>1.5</v>
      </c>
      <c r="AA65" s="28">
        <f>'FY21 Final Initial $$'!AA65/'FY21 FTE'!AA$120</f>
        <v>0</v>
      </c>
      <c r="AB65" s="28">
        <f>'FY21 Final Initial $$'!AB65/'FY21 FTE'!AB$120</f>
        <v>2</v>
      </c>
      <c r="AC65" s="28">
        <f>'FY21 Final Initial $$'!AC65/'FY21 FTE'!AC$120</f>
        <v>2</v>
      </c>
      <c r="AD65" s="28">
        <f>'FY21 Final Initial $$'!AD65/'FY21 FTE'!AD$120</f>
        <v>2</v>
      </c>
      <c r="AE65" s="28">
        <f>'FY21 Final Initial $$'!AE65/'FY21 FTE'!AE$120</f>
        <v>2</v>
      </c>
      <c r="AF65" s="28">
        <f>'FY21 Final Initial $$'!AF65/'FY21 FTE'!AF$120</f>
        <v>2</v>
      </c>
      <c r="AG65" s="28">
        <f>'FY21 Final Initial $$'!AG65/'FY21 FTE'!AG$120</f>
        <v>2</v>
      </c>
      <c r="AH65" s="28">
        <f>'FY21 Final Initial $$'!AH65/'FY21 FTE'!AH$120</f>
        <v>3</v>
      </c>
      <c r="AI65" s="28">
        <f>'FY21 Final Initial $$'!AI65/'FY21 FTE'!AI$120</f>
        <v>3</v>
      </c>
      <c r="AJ65" s="28">
        <f>'FY21 Final Initial $$'!AJ65/'FY21 FTE'!AJ$120</f>
        <v>3</v>
      </c>
      <c r="AK65" s="28">
        <f>'FY21 Final Initial $$'!AK65/'FY21 FTE'!AK$120</f>
        <v>3</v>
      </c>
      <c r="AL65" s="28">
        <f>'FY21 Final Initial $$'!AL65/'FY21 FTE'!AL$120</f>
        <v>3</v>
      </c>
      <c r="AM65" s="28">
        <f>'FY21 Final Initial $$'!AM65/'FY21 FTE'!AM$120</f>
        <v>3</v>
      </c>
      <c r="AN65" s="28">
        <f>'FY21 Final Initial $$'!AN65/'FY21 FTE'!AN$120</f>
        <v>3.000000000000004</v>
      </c>
      <c r="AO65" s="28">
        <f>'FY21 Final Initial $$'!AO65/'FY21 FTE'!AO$120</f>
        <v>0</v>
      </c>
      <c r="AP65" s="28">
        <f>'FY21 Final Initial $$'!AP65/'FY21 FTE'!AP$120</f>
        <v>0</v>
      </c>
      <c r="AQ65" s="28">
        <f>'FY21 Final Initial $$'!AQ65/'FY21 FTE'!AQ$120</f>
        <v>0</v>
      </c>
      <c r="AR65" s="28">
        <f>'FY21 Final Initial $$'!AR65/'FY21 FTE'!AR$120</f>
        <v>0</v>
      </c>
      <c r="AS65" s="28">
        <f>'FY21 Final Initial $$'!AS65/'FY21 FTE'!AS$120</f>
        <v>0</v>
      </c>
      <c r="AT65" s="28">
        <f>'FY21 Final Initial $$'!AT65/'FY21 FTE'!AT$120</f>
        <v>0</v>
      </c>
      <c r="AU65" s="28">
        <f>'FY21 Final Initial $$'!AU65/'FY21 FTE'!AU$120</f>
        <v>0</v>
      </c>
      <c r="AV65" s="28">
        <f>'FY21 Final Initial $$'!AV65/'FY21 FTE'!AV$120</f>
        <v>0</v>
      </c>
      <c r="AW65" s="28">
        <f>'FY21 Final Initial $$'!AW65/'FY21 FTE'!AW$120</f>
        <v>0</v>
      </c>
      <c r="AX65" s="28">
        <f>'FY21 Final Initial $$'!AX65/'FY21 FTE'!AX$120</f>
        <v>0</v>
      </c>
      <c r="AY65" s="28">
        <f>'FY21 Final Initial $$'!AY65/'FY21 FTE'!AY$120</f>
        <v>1</v>
      </c>
      <c r="AZ65" s="28">
        <f>'FY21 Final Initial $$'!AZ65/'FY21 FTE'!AZ$120</f>
        <v>3</v>
      </c>
      <c r="BA65" s="28">
        <f>'FY21 Final Initial $$'!BA65/'FY21 FTE'!BA$120</f>
        <v>7</v>
      </c>
      <c r="BB65" s="28">
        <f>'FY21 Final Initial $$'!BB65/'FY21 FTE'!BB$120</f>
        <v>2</v>
      </c>
      <c r="BC65" s="28">
        <f>'FY21 Final Initial $$'!BC65/'FY21 FTE'!BC$120</f>
        <v>2</v>
      </c>
      <c r="BD65" s="28">
        <f>'FY21 Final Initial $$'!BD65/'FY21 FTE'!BD$120</f>
        <v>0</v>
      </c>
      <c r="BE65" s="28">
        <f>'FY21 Final Initial $$'!BE65/'FY21 FTE'!BE$120</f>
        <v>10.5</v>
      </c>
      <c r="BF65" s="28">
        <f>'FY21 Final Initial $$'!BF65/'FY21 FTE'!BF$120</f>
        <v>0</v>
      </c>
      <c r="BG65" s="28">
        <f>'FY21 Final Initial $$'!BG65/'FY21 FTE'!BG$120</f>
        <v>2</v>
      </c>
      <c r="BH65" s="28">
        <f>'FY21 Final Initial $$'!BH65/'FY21 FTE'!BH$120</f>
        <v>6</v>
      </c>
      <c r="BI65" s="28">
        <f>'FY21 Final Initial $$'!BI65/'FY21 FTE'!BI$120</f>
        <v>6</v>
      </c>
      <c r="BJ65" s="28">
        <f>'FY21 Final Initial $$'!BJ65/'FY21 FTE'!BJ$120</f>
        <v>0</v>
      </c>
      <c r="BK65" s="20">
        <v>0</v>
      </c>
      <c r="BL65" s="20"/>
      <c r="BM65" s="20"/>
      <c r="BN65" s="20">
        <v>196466.6</v>
      </c>
      <c r="BO65" s="20">
        <v>3250.32</v>
      </c>
      <c r="BP65" s="20">
        <v>0</v>
      </c>
      <c r="BQ65" s="28">
        <f>'FY21 Final Initial $$'!BQ65/'FY21 FTE'!BQ$120</f>
        <v>0</v>
      </c>
      <c r="BR65" s="28">
        <f>'FY21 Final Initial $$'!BR65/'FY21 FTE'!BR$120</f>
        <v>0</v>
      </c>
      <c r="BS65" s="28">
        <f>'FY21 Final Initial $$'!BS65/'FY21 FTE'!BS$120</f>
        <v>0</v>
      </c>
      <c r="BT65" s="28">
        <f>'FY21 Final Initial $$'!BT65/'FY21 FTE'!BT$120</f>
        <v>0</v>
      </c>
      <c r="BU65" s="28">
        <f>'FY21 Final Initial $$'!BU65/'FY21 FTE'!BU$120</f>
        <v>0</v>
      </c>
      <c r="BV65" s="28">
        <f>'FY21 Final Initial $$'!BV65/'FY21 FTE'!BV$120</f>
        <v>0</v>
      </c>
      <c r="BW65" s="28">
        <f>'FY21 Final Initial $$'!BW65/'FY21 FTE'!BW$120</f>
        <v>0</v>
      </c>
      <c r="BX65" s="20">
        <v>0</v>
      </c>
      <c r="BY65" s="20">
        <v>0</v>
      </c>
      <c r="BZ65" s="20">
        <v>0</v>
      </c>
      <c r="CA65" s="20">
        <v>0</v>
      </c>
      <c r="CB65" s="28">
        <f>'FY21 Final Initial $$'!CB65/'FY21 FTE'!CB$120</f>
        <v>0</v>
      </c>
      <c r="CC65" s="28">
        <f>'FY21 Final Initial $$'!CC65/'FY21 FTE'!CC$120</f>
        <v>0</v>
      </c>
      <c r="CD65" s="20">
        <v>0</v>
      </c>
      <c r="CE65" s="28">
        <f>'FY21 Final Initial $$'!CE65/'FY21 FTE'!CE$120</f>
        <v>0</v>
      </c>
      <c r="CF65" s="28">
        <f>'FY21 Final Initial $$'!CF65/'FY21 FTE'!CF$120</f>
        <v>0</v>
      </c>
      <c r="CG65" s="28">
        <f>'FY21 Final Initial $$'!CG65/'FY21 FTE'!CG$120</f>
        <v>0</v>
      </c>
      <c r="CH65" s="28">
        <f>'FY21 Final Initial $$'!CH65/'FY21 FTE'!CH$120</f>
        <v>0</v>
      </c>
      <c r="CI65" s="28">
        <f>'FY21 Final Initial $$'!CI65/'FY21 FTE'!CI$120</f>
        <v>0</v>
      </c>
      <c r="CJ65" s="28">
        <f>'FY21 Final Initial $$'!CJ65/'FY21 FTE'!CJ$120</f>
        <v>1</v>
      </c>
      <c r="CK65" s="28">
        <f>'FY21 Final Initial $$'!CK65/'FY21 FTE'!CK$120</f>
        <v>0</v>
      </c>
      <c r="CL65" s="28">
        <f>'FY21 Final Initial $$'!CL65/'FY21 FTE'!CL$120</f>
        <v>0</v>
      </c>
      <c r="CM65" s="20">
        <v>0</v>
      </c>
      <c r="CN65" s="20">
        <v>0</v>
      </c>
      <c r="CO65" s="20">
        <v>111843.51999999999</v>
      </c>
      <c r="CP65" s="20">
        <v>0</v>
      </c>
      <c r="CQ65" s="28">
        <f>'FY21 Final Initial $$'!CQ65/'FY21 FTE'!CQ$120</f>
        <v>0</v>
      </c>
      <c r="CR65" s="20">
        <v>0</v>
      </c>
      <c r="CS65" s="20">
        <v>2900</v>
      </c>
      <c r="CT65" s="20">
        <v>0</v>
      </c>
      <c r="CU65" s="20">
        <v>29711.703703703704</v>
      </c>
      <c r="CV65" s="28">
        <f>'FY21 Final Initial $$'!CV65/'FY21 FTE'!CV$120</f>
        <v>0</v>
      </c>
      <c r="CW65" s="28">
        <f>'FY21 Final Initial $$'!CW65/'FY21 FTE'!CW$120</f>
        <v>0</v>
      </c>
      <c r="CX65" s="20">
        <v>0</v>
      </c>
      <c r="CY65" s="28">
        <f>'FY21 Final Initial $$'!CY65/'FY21 FTE'!CY$120</f>
        <v>0</v>
      </c>
      <c r="CZ65" s="20">
        <v>5000</v>
      </c>
      <c r="DA65" s="20">
        <v>113945.66</v>
      </c>
      <c r="DB65" s="20">
        <v>46800</v>
      </c>
      <c r="DC65" s="20">
        <v>147617.14400564801</v>
      </c>
      <c r="DD65" s="20">
        <v>0</v>
      </c>
      <c r="DE65" s="20">
        <v>0</v>
      </c>
      <c r="DF65" s="20">
        <v>0</v>
      </c>
      <c r="DG65" s="20">
        <v>0</v>
      </c>
      <c r="DH65" s="28">
        <f>'FY21 Final Initial $$'!DH65/'FY21 FTE'!DH$120</f>
        <v>1</v>
      </c>
      <c r="DI65" s="20"/>
      <c r="DJ65" s="20">
        <v>10124.999641254544</v>
      </c>
      <c r="DK65" s="22">
        <v>0</v>
      </c>
      <c r="DL65" s="20">
        <v>0</v>
      </c>
      <c r="DM65" s="20">
        <v>0</v>
      </c>
      <c r="DN65" s="20">
        <v>8364574.8478174517</v>
      </c>
      <c r="DO65" s="29">
        <f t="shared" si="1"/>
        <v>9</v>
      </c>
      <c r="DP65" s="29">
        <f t="shared" si="1"/>
        <v>9</v>
      </c>
      <c r="DQ65" s="29">
        <f t="shared" si="2"/>
        <v>15.000000000000004</v>
      </c>
      <c r="DR65" s="29">
        <f t="shared" si="3"/>
        <v>23.5</v>
      </c>
      <c r="DS65" s="29">
        <f t="shared" si="4"/>
        <v>2</v>
      </c>
    </row>
    <row r="66" spans="1:123" x14ac:dyDescent="0.25">
      <c r="A66" s="18">
        <v>274</v>
      </c>
      <c r="B66" t="s">
        <v>206</v>
      </c>
      <c r="C66" t="s">
        <v>135</v>
      </c>
      <c r="D66">
        <v>6</v>
      </c>
      <c r="E66">
        <v>490</v>
      </c>
      <c r="F66" s="19">
        <f t="shared" si="0"/>
        <v>0.1326530612244898</v>
      </c>
      <c r="G66">
        <v>65</v>
      </c>
      <c r="H66" s="28">
        <f>'FY21 Final Initial $$'!H66/'FY21 FTE'!H$120</f>
        <v>1</v>
      </c>
      <c r="I66" s="28">
        <f>'FY21 Final Initial $$'!I66/'FY21 FTE'!I$120</f>
        <v>1</v>
      </c>
      <c r="J66" s="28">
        <f>'FY21 Final Initial $$'!J66/'FY21 FTE'!J$120</f>
        <v>1.2</v>
      </c>
      <c r="K66" s="28">
        <f>'FY21 Final Initial $$'!K66/'FY21 FTE'!K$120</f>
        <v>0</v>
      </c>
      <c r="L66" s="28">
        <f>'FY21 Final Initial $$'!L66/'FY21 FTE'!L$120</f>
        <v>0</v>
      </c>
      <c r="M66" s="28">
        <f>'FY21 Final Initial $$'!M66/'FY21 FTE'!M$120</f>
        <v>1</v>
      </c>
      <c r="N66" s="28">
        <f>'FY21 Final Initial $$'!N66/'FY21 FTE'!N$120</f>
        <v>1</v>
      </c>
      <c r="O66" s="28">
        <f>'FY21 Final Initial $$'!O66/'FY21 FTE'!O$120</f>
        <v>1.2</v>
      </c>
      <c r="P66" s="28">
        <f>'FY21 Final Initial $$'!P66/'FY21 FTE'!P$120</f>
        <v>0</v>
      </c>
      <c r="Q66" s="28">
        <f>'FY21 Final Initial $$'!Q66/'FY21 FTE'!Q$120</f>
        <v>0</v>
      </c>
      <c r="R66" s="28">
        <f>'FY21 Final Initial $$'!R66/'FY21 FTE'!R$120</f>
        <v>0</v>
      </c>
      <c r="S66" s="28">
        <f>'FY21 Final Initial $$'!S66/'FY21 FTE'!S$120</f>
        <v>1</v>
      </c>
      <c r="T66" s="28">
        <f>'FY21 Final Initial $$'!T66/'FY21 FTE'!T$120</f>
        <v>1</v>
      </c>
      <c r="U66" s="28">
        <f>'FY21 Final Initial $$'!U66/'FY21 FTE'!U$120</f>
        <v>2</v>
      </c>
      <c r="V66" s="28">
        <f>'FY21 Final Initial $$'!V66/'FY21 FTE'!V$120</f>
        <v>1</v>
      </c>
      <c r="W66" s="28">
        <f>'FY21 Final Initial $$'!W66/'FY21 FTE'!W$120</f>
        <v>1</v>
      </c>
      <c r="X66" s="28">
        <f>'FY21 Final Initial $$'!X66/'FY21 FTE'!X$120</f>
        <v>1</v>
      </c>
      <c r="Y66" s="28">
        <f>'FY21 Final Initial $$'!Y66/'FY21 FTE'!Y$120</f>
        <v>1</v>
      </c>
      <c r="Z66" s="28">
        <f>'FY21 Final Initial $$'!Z66/'FY21 FTE'!Z$120</f>
        <v>1.5</v>
      </c>
      <c r="AA66" s="28">
        <f>'FY21 Final Initial $$'!AA66/'FY21 FTE'!AA$120</f>
        <v>0</v>
      </c>
      <c r="AB66" s="28">
        <f>'FY21 Final Initial $$'!AB66/'FY21 FTE'!AB$120</f>
        <v>2</v>
      </c>
      <c r="AC66" s="28">
        <f>'FY21 Final Initial $$'!AC66/'FY21 FTE'!AC$120</f>
        <v>2</v>
      </c>
      <c r="AD66" s="28">
        <f>'FY21 Final Initial $$'!AD66/'FY21 FTE'!AD$120</f>
        <v>1</v>
      </c>
      <c r="AE66" s="28">
        <f>'FY21 Final Initial $$'!AE66/'FY21 FTE'!AE$120</f>
        <v>1</v>
      </c>
      <c r="AF66" s="28">
        <f>'FY21 Final Initial $$'!AF66/'FY21 FTE'!AF$120</f>
        <v>2</v>
      </c>
      <c r="AG66" s="28">
        <f>'FY21 Final Initial $$'!AG66/'FY21 FTE'!AG$120</f>
        <v>2</v>
      </c>
      <c r="AH66" s="28">
        <f>'FY21 Final Initial $$'!AH66/'FY21 FTE'!AH$120</f>
        <v>4</v>
      </c>
      <c r="AI66" s="28">
        <f>'FY21 Final Initial $$'!AI66/'FY21 FTE'!AI$120</f>
        <v>4</v>
      </c>
      <c r="AJ66" s="28">
        <f>'FY21 Final Initial $$'!AJ66/'FY21 FTE'!AJ$120</f>
        <v>4</v>
      </c>
      <c r="AK66" s="28">
        <f>'FY21 Final Initial $$'!AK66/'FY21 FTE'!AK$120</f>
        <v>3</v>
      </c>
      <c r="AL66" s="28">
        <f>'FY21 Final Initial $$'!AL66/'FY21 FTE'!AL$120</f>
        <v>3</v>
      </c>
      <c r="AM66" s="28">
        <f>'FY21 Final Initial $$'!AM66/'FY21 FTE'!AM$120</f>
        <v>3</v>
      </c>
      <c r="AN66" s="28">
        <f>'FY21 Final Initial $$'!AN66/'FY21 FTE'!AN$120</f>
        <v>2.0000000000000027</v>
      </c>
      <c r="AO66" s="28">
        <f>'FY21 Final Initial $$'!AO66/'FY21 FTE'!AO$120</f>
        <v>0</v>
      </c>
      <c r="AP66" s="28">
        <f>'FY21 Final Initial $$'!AP66/'FY21 FTE'!AP$120</f>
        <v>0</v>
      </c>
      <c r="AQ66" s="28">
        <f>'FY21 Final Initial $$'!AQ66/'FY21 FTE'!AQ$120</f>
        <v>0</v>
      </c>
      <c r="AR66" s="28">
        <f>'FY21 Final Initial $$'!AR66/'FY21 FTE'!AR$120</f>
        <v>0</v>
      </c>
      <c r="AS66" s="28">
        <f>'FY21 Final Initial $$'!AS66/'FY21 FTE'!AS$120</f>
        <v>0</v>
      </c>
      <c r="AT66" s="28">
        <f>'FY21 Final Initial $$'!AT66/'FY21 FTE'!AT$120</f>
        <v>0</v>
      </c>
      <c r="AU66" s="28">
        <f>'FY21 Final Initial $$'!AU66/'FY21 FTE'!AU$120</f>
        <v>0</v>
      </c>
      <c r="AV66" s="28">
        <f>'FY21 Final Initial $$'!AV66/'FY21 FTE'!AV$120</f>
        <v>0</v>
      </c>
      <c r="AW66" s="28">
        <f>'FY21 Final Initial $$'!AW66/'FY21 FTE'!AW$120</f>
        <v>0</v>
      </c>
      <c r="AX66" s="28">
        <f>'FY21 Final Initial $$'!AX66/'FY21 FTE'!AX$120</f>
        <v>0</v>
      </c>
      <c r="AY66" s="28">
        <f>'FY21 Final Initial $$'!AY66/'FY21 FTE'!AY$120</f>
        <v>0.5</v>
      </c>
      <c r="AZ66" s="28">
        <f>'FY21 Final Initial $$'!AZ66/'FY21 FTE'!AZ$120</f>
        <v>1</v>
      </c>
      <c r="BA66" s="28">
        <f>'FY21 Final Initial $$'!BA66/'FY21 FTE'!BA$120</f>
        <v>4</v>
      </c>
      <c r="BB66" s="28">
        <f>'FY21 Final Initial $$'!BB66/'FY21 FTE'!BB$120</f>
        <v>0</v>
      </c>
      <c r="BC66" s="28">
        <f>'FY21 Final Initial $$'!BC66/'FY21 FTE'!BC$120</f>
        <v>0</v>
      </c>
      <c r="BD66" s="28">
        <f>'FY21 Final Initial $$'!BD66/'FY21 FTE'!BD$120</f>
        <v>0</v>
      </c>
      <c r="BE66" s="28">
        <f>'FY21 Final Initial $$'!BE66/'FY21 FTE'!BE$120</f>
        <v>1</v>
      </c>
      <c r="BF66" s="28">
        <f>'FY21 Final Initial $$'!BF66/'FY21 FTE'!BF$120</f>
        <v>0</v>
      </c>
      <c r="BG66" s="28">
        <f>'FY21 Final Initial $$'!BG66/'FY21 FTE'!BG$120</f>
        <v>0</v>
      </c>
      <c r="BH66" s="28">
        <f>'FY21 Final Initial $$'!BH66/'FY21 FTE'!BH$120</f>
        <v>0</v>
      </c>
      <c r="BI66" s="28">
        <f>'FY21 Final Initial $$'!BI66/'FY21 FTE'!BI$120</f>
        <v>0</v>
      </c>
      <c r="BJ66" s="28">
        <f>'FY21 Final Initial $$'!BJ66/'FY21 FTE'!BJ$120</f>
        <v>0</v>
      </c>
      <c r="BK66" s="20">
        <v>0</v>
      </c>
      <c r="BL66" s="20"/>
      <c r="BM66" s="20"/>
      <c r="BN66" s="20">
        <v>0</v>
      </c>
      <c r="BO66" s="20">
        <v>0</v>
      </c>
      <c r="BP66" s="20">
        <v>11425</v>
      </c>
      <c r="BQ66" s="28">
        <f>'FY21 Final Initial $$'!BQ66/'FY21 FTE'!BQ$120</f>
        <v>0</v>
      </c>
      <c r="BR66" s="28">
        <f>'FY21 Final Initial $$'!BR66/'FY21 FTE'!BR$120</f>
        <v>0</v>
      </c>
      <c r="BS66" s="28">
        <f>'FY21 Final Initial $$'!BS66/'FY21 FTE'!BS$120</f>
        <v>0</v>
      </c>
      <c r="BT66" s="28">
        <f>'FY21 Final Initial $$'!BT66/'FY21 FTE'!BT$120</f>
        <v>0</v>
      </c>
      <c r="BU66" s="28">
        <f>'FY21 Final Initial $$'!BU66/'FY21 FTE'!BU$120</f>
        <v>0</v>
      </c>
      <c r="BV66" s="28">
        <f>'FY21 Final Initial $$'!BV66/'FY21 FTE'!BV$120</f>
        <v>0</v>
      </c>
      <c r="BW66" s="28">
        <f>'FY21 Final Initial $$'!BW66/'FY21 FTE'!BW$120</f>
        <v>0</v>
      </c>
      <c r="BX66" s="20">
        <v>0</v>
      </c>
      <c r="BY66" s="20">
        <v>0</v>
      </c>
      <c r="BZ66" s="20">
        <v>0</v>
      </c>
      <c r="CA66" s="20">
        <v>0</v>
      </c>
      <c r="CB66" s="28">
        <f>'FY21 Final Initial $$'!CB66/'FY21 FTE'!CB$120</f>
        <v>0</v>
      </c>
      <c r="CC66" s="28">
        <f>'FY21 Final Initial $$'!CC66/'FY21 FTE'!CC$120</f>
        <v>0</v>
      </c>
      <c r="CD66" s="20">
        <v>0</v>
      </c>
      <c r="CE66" s="28">
        <f>'FY21 Final Initial $$'!CE66/'FY21 FTE'!CE$120</f>
        <v>0</v>
      </c>
      <c r="CF66" s="28">
        <f>'FY21 Final Initial $$'!CF66/'FY21 FTE'!CF$120</f>
        <v>0</v>
      </c>
      <c r="CG66" s="28">
        <f>'FY21 Final Initial $$'!CG66/'FY21 FTE'!CG$120</f>
        <v>0</v>
      </c>
      <c r="CH66" s="28">
        <f>'FY21 Final Initial $$'!CH66/'FY21 FTE'!CH$120</f>
        <v>0</v>
      </c>
      <c r="CI66" s="28">
        <f>'FY21 Final Initial $$'!CI66/'FY21 FTE'!CI$120</f>
        <v>0</v>
      </c>
      <c r="CJ66" s="28">
        <f>'FY21 Final Initial $$'!CJ66/'FY21 FTE'!CJ$120</f>
        <v>0</v>
      </c>
      <c r="CK66" s="28">
        <f>'FY21 Final Initial $$'!CK66/'FY21 FTE'!CK$120</f>
        <v>0</v>
      </c>
      <c r="CL66" s="28">
        <f>'FY21 Final Initial $$'!CL66/'FY21 FTE'!CL$120</f>
        <v>0</v>
      </c>
      <c r="CM66" s="20">
        <v>0</v>
      </c>
      <c r="CN66" s="20">
        <v>0</v>
      </c>
      <c r="CO66" s="20">
        <v>111843.51999999999</v>
      </c>
      <c r="CP66" s="20">
        <v>0</v>
      </c>
      <c r="CQ66" s="28">
        <f>'FY21 Final Initial $$'!CQ66/'FY21 FTE'!CQ$120</f>
        <v>0</v>
      </c>
      <c r="CR66" s="20">
        <v>0</v>
      </c>
      <c r="CS66" s="20">
        <v>0</v>
      </c>
      <c r="CT66" s="20">
        <v>0</v>
      </c>
      <c r="CU66" s="20">
        <v>26609.181818181816</v>
      </c>
      <c r="CV66" s="28">
        <f>'FY21 Final Initial $$'!CV66/'FY21 FTE'!CV$120</f>
        <v>0</v>
      </c>
      <c r="CW66" s="28">
        <f>'FY21 Final Initial $$'!CW66/'FY21 FTE'!CW$120</f>
        <v>0</v>
      </c>
      <c r="CX66" s="20">
        <v>0</v>
      </c>
      <c r="CY66" s="28">
        <f>'FY21 Final Initial $$'!CY66/'FY21 FTE'!CY$120</f>
        <v>0</v>
      </c>
      <c r="CZ66" s="20">
        <v>0</v>
      </c>
      <c r="DA66" s="20">
        <v>0</v>
      </c>
      <c r="DB66" s="20">
        <v>49000</v>
      </c>
      <c r="DC66" s="20">
        <v>84027.98950707537</v>
      </c>
      <c r="DD66" s="20">
        <v>0</v>
      </c>
      <c r="DE66" s="20">
        <v>0</v>
      </c>
      <c r="DF66" s="20">
        <v>0</v>
      </c>
      <c r="DG66" s="20">
        <v>0</v>
      </c>
      <c r="DH66" s="28">
        <f>'FY21 Final Initial $$'!DH66/'FY21 FTE'!DH$120</f>
        <v>0</v>
      </c>
      <c r="DI66" s="20"/>
      <c r="DJ66" s="20">
        <v>2625.0000554136932</v>
      </c>
      <c r="DK66" s="22">
        <v>0</v>
      </c>
      <c r="DL66" s="20">
        <v>0</v>
      </c>
      <c r="DM66" s="20">
        <v>0</v>
      </c>
      <c r="DN66" s="20">
        <v>5504660.4744288307</v>
      </c>
      <c r="DO66" s="29">
        <f t="shared" si="1"/>
        <v>9</v>
      </c>
      <c r="DP66" s="29">
        <f t="shared" si="1"/>
        <v>9</v>
      </c>
      <c r="DQ66" s="29">
        <f t="shared" si="2"/>
        <v>15.000000000000004</v>
      </c>
      <c r="DR66" s="29">
        <f t="shared" si="3"/>
        <v>6.5</v>
      </c>
      <c r="DS66" s="29">
        <f t="shared" si="4"/>
        <v>0</v>
      </c>
    </row>
    <row r="67" spans="1:123" x14ac:dyDescent="0.25">
      <c r="A67" s="18">
        <v>435</v>
      </c>
      <c r="B67" t="s">
        <v>207</v>
      </c>
      <c r="C67" t="s">
        <v>152</v>
      </c>
      <c r="D67">
        <v>5</v>
      </c>
      <c r="E67">
        <v>242</v>
      </c>
      <c r="F67" s="19">
        <f t="shared" ref="F67:F118" si="5">G67/E67</f>
        <v>0.57024793388429751</v>
      </c>
      <c r="G67">
        <v>138</v>
      </c>
      <c r="H67" s="28">
        <f>'FY21 Final Initial $$'!H67/'FY21 FTE'!H$120</f>
        <v>0.5</v>
      </c>
      <c r="I67" s="28">
        <f>'FY21 Final Initial $$'!I67/'FY21 FTE'!I$120</f>
        <v>1</v>
      </c>
      <c r="J67" s="28">
        <f>'FY21 Final Initial $$'!J67/'FY21 FTE'!J$120</f>
        <v>1.7999999999999998</v>
      </c>
      <c r="K67" s="28">
        <f>'FY21 Final Initial $$'!K67/'FY21 FTE'!K$120</f>
        <v>1</v>
      </c>
      <c r="L67" s="28">
        <f>'FY21 Final Initial $$'!L67/'FY21 FTE'!L$120</f>
        <v>0</v>
      </c>
      <c r="M67" s="28">
        <f>'FY21 Final Initial $$'!M67/'FY21 FTE'!M$120</f>
        <v>0.5</v>
      </c>
      <c r="N67" s="28">
        <f>'FY21 Final Initial $$'!N67/'FY21 FTE'!N$120</f>
        <v>1</v>
      </c>
      <c r="O67" s="28">
        <f>'FY21 Final Initial $$'!O67/'FY21 FTE'!O$120</f>
        <v>0</v>
      </c>
      <c r="P67" s="28">
        <f>'FY21 Final Initial $$'!P67/'FY21 FTE'!P$120</f>
        <v>0</v>
      </c>
      <c r="Q67" s="28">
        <f>'FY21 Final Initial $$'!Q67/'FY21 FTE'!Q$120</f>
        <v>0</v>
      </c>
      <c r="R67" s="28">
        <f>'FY21 Final Initial $$'!R67/'FY21 FTE'!R$120</f>
        <v>0</v>
      </c>
      <c r="S67" s="28">
        <f>'FY21 Final Initial $$'!S67/'FY21 FTE'!S$120</f>
        <v>1</v>
      </c>
      <c r="T67" s="28">
        <f>'FY21 Final Initial $$'!T67/'FY21 FTE'!T$120</f>
        <v>1</v>
      </c>
      <c r="U67" s="28">
        <f>'FY21 Final Initial $$'!U67/'FY21 FTE'!U$120</f>
        <v>2</v>
      </c>
      <c r="V67" s="28">
        <f>'FY21 Final Initial $$'!V67/'FY21 FTE'!V$120</f>
        <v>0.5</v>
      </c>
      <c r="W67" s="28">
        <f>'FY21 Final Initial $$'!W67/'FY21 FTE'!W$120</f>
        <v>0</v>
      </c>
      <c r="X67" s="28">
        <f>'FY21 Final Initial $$'!X67/'FY21 FTE'!X$120</f>
        <v>0</v>
      </c>
      <c r="Y67" s="28">
        <f>'FY21 Final Initial $$'!Y67/'FY21 FTE'!Y$120</f>
        <v>0</v>
      </c>
      <c r="Z67" s="28">
        <f>'FY21 Final Initial $$'!Z67/'FY21 FTE'!Z$120</f>
        <v>0</v>
      </c>
      <c r="AA67" s="28">
        <f>'FY21 Final Initial $$'!AA67/'FY21 FTE'!AA$120</f>
        <v>0</v>
      </c>
      <c r="AB67" s="28">
        <f>'FY21 Final Initial $$'!AB67/'FY21 FTE'!AB$120</f>
        <v>0</v>
      </c>
      <c r="AC67" s="28">
        <f>'FY21 Final Initial $$'!AC67/'FY21 FTE'!AC$120</f>
        <v>0</v>
      </c>
      <c r="AD67" s="28">
        <f>'FY21 Final Initial $$'!AD67/'FY21 FTE'!AD$120</f>
        <v>0</v>
      </c>
      <c r="AE67" s="28">
        <f>'FY21 Final Initial $$'!AE67/'FY21 FTE'!AE$120</f>
        <v>0</v>
      </c>
      <c r="AF67" s="28">
        <f>'FY21 Final Initial $$'!AF67/'FY21 FTE'!AF$120</f>
        <v>0</v>
      </c>
      <c r="AG67" s="28">
        <f>'FY21 Final Initial $$'!AG67/'FY21 FTE'!AG$120</f>
        <v>0</v>
      </c>
      <c r="AH67" s="28">
        <f>'FY21 Final Initial $$'!AH67/'FY21 FTE'!AH$120</f>
        <v>0</v>
      </c>
      <c r="AI67" s="28">
        <f>'FY21 Final Initial $$'!AI67/'FY21 FTE'!AI$120</f>
        <v>0</v>
      </c>
      <c r="AJ67" s="28">
        <f>'FY21 Final Initial $$'!AJ67/'FY21 FTE'!AJ$120</f>
        <v>0</v>
      </c>
      <c r="AK67" s="28">
        <f>'FY21 Final Initial $$'!AK67/'FY21 FTE'!AK$120</f>
        <v>0</v>
      </c>
      <c r="AL67" s="28">
        <f>'FY21 Final Initial $$'!AL67/'FY21 FTE'!AL$120</f>
        <v>0</v>
      </c>
      <c r="AM67" s="28">
        <f>'FY21 Final Initial $$'!AM67/'FY21 FTE'!AM$120</f>
        <v>0</v>
      </c>
      <c r="AN67" s="28">
        <f>'FY21 Final Initial $$'!AN67/'FY21 FTE'!AN$120</f>
        <v>0</v>
      </c>
      <c r="AO67" s="28">
        <f>'FY21 Final Initial $$'!AO67/'FY21 FTE'!AO$120</f>
        <v>3.4</v>
      </c>
      <c r="AP67" s="28">
        <f>'FY21 Final Initial $$'!AP67/'FY21 FTE'!AP$120</f>
        <v>3.9</v>
      </c>
      <c r="AQ67" s="28">
        <f>'FY21 Final Initial $$'!AQ67/'FY21 FTE'!AQ$120</f>
        <v>3.7</v>
      </c>
      <c r="AR67" s="28">
        <f>'FY21 Final Initial $$'!AR67/'FY21 FTE'!AR$120</f>
        <v>0</v>
      </c>
      <c r="AS67" s="28">
        <f>'FY21 Final Initial $$'!AS67/'FY21 FTE'!AS$120</f>
        <v>0</v>
      </c>
      <c r="AT67" s="28">
        <f>'FY21 Final Initial $$'!AT67/'FY21 FTE'!AT$120</f>
        <v>0</v>
      </c>
      <c r="AU67" s="28">
        <f>'FY21 Final Initial $$'!AU67/'FY21 FTE'!AU$120</f>
        <v>0</v>
      </c>
      <c r="AV67" s="28">
        <f>'FY21 Final Initial $$'!AV67/'FY21 FTE'!AV$120</f>
        <v>0</v>
      </c>
      <c r="AW67" s="28">
        <f>'FY21 Final Initial $$'!AW67/'FY21 FTE'!AW$120</f>
        <v>0</v>
      </c>
      <c r="AX67" s="28">
        <f>'FY21 Final Initial $$'!AX67/'FY21 FTE'!AX$120</f>
        <v>0</v>
      </c>
      <c r="AY67" s="28">
        <f>'FY21 Final Initial $$'!AY67/'FY21 FTE'!AY$120</f>
        <v>1</v>
      </c>
      <c r="AZ67" s="28">
        <f>'FY21 Final Initial $$'!AZ67/'FY21 FTE'!AZ$120</f>
        <v>3</v>
      </c>
      <c r="BA67" s="28">
        <f>'FY21 Final Initial $$'!BA67/'FY21 FTE'!BA$120</f>
        <v>8</v>
      </c>
      <c r="BB67" s="28">
        <f>'FY21 Final Initial $$'!BB67/'FY21 FTE'!BB$120</f>
        <v>3</v>
      </c>
      <c r="BC67" s="28">
        <f>'FY21 Final Initial $$'!BC67/'FY21 FTE'!BC$120</f>
        <v>1</v>
      </c>
      <c r="BD67" s="28">
        <f>'FY21 Final Initial $$'!BD67/'FY21 FTE'!BD$120</f>
        <v>0</v>
      </c>
      <c r="BE67" s="28">
        <f>'FY21 Final Initial $$'!BE67/'FY21 FTE'!BE$120</f>
        <v>1</v>
      </c>
      <c r="BF67" s="28">
        <f>'FY21 Final Initial $$'!BF67/'FY21 FTE'!BF$120</f>
        <v>0</v>
      </c>
      <c r="BG67" s="28">
        <f>'FY21 Final Initial $$'!BG67/'FY21 FTE'!BG$120</f>
        <v>0</v>
      </c>
      <c r="BH67" s="28">
        <f>'FY21 Final Initial $$'!BH67/'FY21 FTE'!BH$120</f>
        <v>0</v>
      </c>
      <c r="BI67" s="28">
        <f>'FY21 Final Initial $$'!BI67/'FY21 FTE'!BI$120</f>
        <v>0</v>
      </c>
      <c r="BJ67" s="28">
        <f>'FY21 Final Initial $$'!BJ67/'FY21 FTE'!BJ$120</f>
        <v>0</v>
      </c>
      <c r="BK67" s="20">
        <v>0</v>
      </c>
      <c r="BL67" s="20"/>
      <c r="BM67" s="20"/>
      <c r="BN67" s="20">
        <v>75798.45</v>
      </c>
      <c r="BO67" s="20">
        <v>1223.6199999999999</v>
      </c>
      <c r="BP67" s="20">
        <v>0</v>
      </c>
      <c r="BQ67" s="28">
        <f>'FY21 Final Initial $$'!BQ67/'FY21 FTE'!BQ$120</f>
        <v>0</v>
      </c>
      <c r="BR67" s="28">
        <f>'FY21 Final Initial $$'!BR67/'FY21 FTE'!BR$120</f>
        <v>0</v>
      </c>
      <c r="BS67" s="28">
        <f>'FY21 Final Initial $$'!BS67/'FY21 FTE'!BS$120</f>
        <v>0</v>
      </c>
      <c r="BT67" s="28">
        <f>'FY21 Final Initial $$'!BT67/'FY21 FTE'!BT$120</f>
        <v>0</v>
      </c>
      <c r="BU67" s="28">
        <f>'FY21 Final Initial $$'!BU67/'FY21 FTE'!BU$120</f>
        <v>0</v>
      </c>
      <c r="BV67" s="28">
        <f>'FY21 Final Initial $$'!BV67/'FY21 FTE'!BV$120</f>
        <v>0</v>
      </c>
      <c r="BW67" s="28">
        <f>'FY21 Final Initial $$'!BW67/'FY21 FTE'!BW$120</f>
        <v>0</v>
      </c>
      <c r="BX67" s="20">
        <v>0</v>
      </c>
      <c r="BY67" s="20">
        <v>0</v>
      </c>
      <c r="BZ67" s="20">
        <v>0</v>
      </c>
      <c r="CA67" s="20">
        <v>0</v>
      </c>
      <c r="CB67" s="28">
        <f>'FY21 Final Initial $$'!CB67/'FY21 FTE'!CB$120</f>
        <v>0</v>
      </c>
      <c r="CC67" s="28">
        <f>'FY21 Final Initial $$'!CC67/'FY21 FTE'!CC$120</f>
        <v>0</v>
      </c>
      <c r="CD67" s="20">
        <v>0</v>
      </c>
      <c r="CE67" s="28">
        <f>'FY21 Final Initial $$'!CE67/'FY21 FTE'!CE$120</f>
        <v>0</v>
      </c>
      <c r="CF67" s="28">
        <f>'FY21 Final Initial $$'!CF67/'FY21 FTE'!CF$120</f>
        <v>0</v>
      </c>
      <c r="CG67" s="28">
        <f>'FY21 Final Initial $$'!CG67/'FY21 FTE'!CG$120</f>
        <v>0</v>
      </c>
      <c r="CH67" s="28">
        <f>'FY21 Final Initial $$'!CH67/'FY21 FTE'!CH$120</f>
        <v>0</v>
      </c>
      <c r="CI67" s="28">
        <f>'FY21 Final Initial $$'!CI67/'FY21 FTE'!CI$120</f>
        <v>0</v>
      </c>
      <c r="CJ67" s="28">
        <f>'FY21 Final Initial $$'!CJ67/'FY21 FTE'!CJ$120</f>
        <v>0</v>
      </c>
      <c r="CK67" s="28">
        <f>'FY21 Final Initial $$'!CK67/'FY21 FTE'!CK$120</f>
        <v>2</v>
      </c>
      <c r="CL67" s="28">
        <f>'FY21 Final Initial $$'!CL67/'FY21 FTE'!CL$120</f>
        <v>0</v>
      </c>
      <c r="CM67" s="20">
        <v>23000</v>
      </c>
      <c r="CN67" s="20">
        <v>5000</v>
      </c>
      <c r="CO67" s="20">
        <v>188124.15999999997</v>
      </c>
      <c r="CP67" s="20">
        <v>100000</v>
      </c>
      <c r="CQ67" s="28">
        <f>'FY21 Final Initial $$'!CQ67/'FY21 FTE'!CQ$120</f>
        <v>0</v>
      </c>
      <c r="CR67" s="20">
        <v>75000</v>
      </c>
      <c r="CS67" s="20">
        <v>2760</v>
      </c>
      <c r="CT67" s="20">
        <v>0</v>
      </c>
      <c r="CU67" s="20">
        <v>18459.710344827588</v>
      </c>
      <c r="CV67" s="28">
        <f>'FY21 Final Initial $$'!CV67/'FY21 FTE'!CV$120</f>
        <v>0</v>
      </c>
      <c r="CW67" s="28">
        <f>'FY21 Final Initial $$'!CW67/'FY21 FTE'!CW$120</f>
        <v>0</v>
      </c>
      <c r="CX67" s="20">
        <v>0</v>
      </c>
      <c r="CY67" s="28">
        <f>'FY21 Final Initial $$'!CY67/'FY21 FTE'!CY$120</f>
        <v>0</v>
      </c>
      <c r="CZ67" s="20">
        <v>0</v>
      </c>
      <c r="DA67" s="20">
        <v>0</v>
      </c>
      <c r="DB67" s="20">
        <v>24200</v>
      </c>
      <c r="DC67" s="20">
        <v>66365.62459715984</v>
      </c>
      <c r="DD67" s="20">
        <v>0</v>
      </c>
      <c r="DE67" s="20">
        <v>0</v>
      </c>
      <c r="DF67" s="20">
        <v>0</v>
      </c>
      <c r="DG67" s="20">
        <v>0</v>
      </c>
      <c r="DH67" s="28">
        <f>'FY21 Final Initial $$'!DH67/'FY21 FTE'!DH$120</f>
        <v>0</v>
      </c>
      <c r="DI67" s="20"/>
      <c r="DJ67" s="20">
        <v>42000.001017004251</v>
      </c>
      <c r="DK67" s="22">
        <v>0</v>
      </c>
      <c r="DL67" s="20">
        <v>0</v>
      </c>
      <c r="DM67" s="20">
        <v>0</v>
      </c>
      <c r="DN67" s="20">
        <v>4644020.0502546346</v>
      </c>
      <c r="DO67" s="29">
        <f t="shared" ref="DO67:DP119" si="6">SUM(AB67,AD67,AF67,AH67)</f>
        <v>0</v>
      </c>
      <c r="DP67" s="29">
        <f t="shared" si="6"/>
        <v>0</v>
      </c>
      <c r="DQ67" s="29">
        <f t="shared" ref="DQ67:DQ119" si="7">SUM(AJ67:AX67)</f>
        <v>11</v>
      </c>
      <c r="DR67" s="29">
        <f t="shared" ref="DR67:DR119" si="8">SUM(AY67:BA67,BE67,BG67)</f>
        <v>13</v>
      </c>
      <c r="DS67" s="29">
        <f t="shared" ref="DS67:DS119" si="9">SUM(BB67,BF67)</f>
        <v>3</v>
      </c>
    </row>
    <row r="68" spans="1:123" x14ac:dyDescent="0.25">
      <c r="A68" s="18">
        <v>458</v>
      </c>
      <c r="B68" t="s">
        <v>208</v>
      </c>
      <c r="C68" t="s">
        <v>138</v>
      </c>
      <c r="D68">
        <v>5</v>
      </c>
      <c r="E68">
        <v>686</v>
      </c>
      <c r="F68" s="19">
        <f t="shared" si="5"/>
        <v>0.38483965014577259</v>
      </c>
      <c r="G68">
        <v>264</v>
      </c>
      <c r="H68" s="28">
        <f>'FY21 Final Initial $$'!H68/'FY21 FTE'!H$120</f>
        <v>0.5</v>
      </c>
      <c r="I68" s="28">
        <f>'FY21 Final Initial $$'!I68/'FY21 FTE'!I$120</f>
        <v>1</v>
      </c>
      <c r="J68" s="28">
        <f>'FY21 Final Initial $$'!J68/'FY21 FTE'!J$120</f>
        <v>2.2999999999999998</v>
      </c>
      <c r="K68" s="28">
        <f>'FY21 Final Initial $$'!K68/'FY21 FTE'!K$120</f>
        <v>0</v>
      </c>
      <c r="L68" s="28">
        <f>'FY21 Final Initial $$'!L68/'FY21 FTE'!L$120</f>
        <v>3.0000000000000004</v>
      </c>
      <c r="M68" s="28">
        <f>'FY21 Final Initial $$'!M68/'FY21 FTE'!M$120</f>
        <v>1</v>
      </c>
      <c r="N68" s="28">
        <f>'FY21 Final Initial $$'!N68/'FY21 FTE'!N$120</f>
        <v>1</v>
      </c>
      <c r="O68" s="28">
        <f>'FY21 Final Initial $$'!O68/'FY21 FTE'!O$120</f>
        <v>1.7</v>
      </c>
      <c r="P68" s="28">
        <f>'FY21 Final Initial $$'!P68/'FY21 FTE'!P$120</f>
        <v>1</v>
      </c>
      <c r="Q68" s="28">
        <f>'FY21 Final Initial $$'!Q68/'FY21 FTE'!Q$120</f>
        <v>1.0000004487061702</v>
      </c>
      <c r="R68" s="28">
        <f>'FY21 Final Initial $$'!R68/'FY21 FTE'!R$120</f>
        <v>0</v>
      </c>
      <c r="S68" s="28">
        <f>'FY21 Final Initial $$'!S68/'FY21 FTE'!S$120</f>
        <v>1</v>
      </c>
      <c r="T68" s="28">
        <f>'FY21 Final Initial $$'!T68/'FY21 FTE'!T$120</f>
        <v>1</v>
      </c>
      <c r="U68" s="28">
        <f>'FY21 Final Initial $$'!U68/'FY21 FTE'!U$120</f>
        <v>6</v>
      </c>
      <c r="V68" s="28">
        <f>'FY21 Final Initial $$'!V68/'FY21 FTE'!V$120</f>
        <v>1</v>
      </c>
      <c r="W68" s="28">
        <f>'FY21 Final Initial $$'!W68/'FY21 FTE'!W$120</f>
        <v>0</v>
      </c>
      <c r="X68" s="28">
        <f>'FY21 Final Initial $$'!X68/'FY21 FTE'!X$120</f>
        <v>0</v>
      </c>
      <c r="Y68" s="28">
        <f>'FY21 Final Initial $$'!Y68/'FY21 FTE'!Y$120</f>
        <v>0</v>
      </c>
      <c r="Z68" s="28">
        <f>'FY21 Final Initial $$'!Z68/'FY21 FTE'!Z$120</f>
        <v>0</v>
      </c>
      <c r="AA68" s="28">
        <f>'FY21 Final Initial $$'!AA68/'FY21 FTE'!AA$120</f>
        <v>0</v>
      </c>
      <c r="AB68" s="28">
        <f>'FY21 Final Initial $$'!AB68/'FY21 FTE'!AB$120</f>
        <v>0</v>
      </c>
      <c r="AC68" s="28">
        <f>'FY21 Final Initial $$'!AC68/'FY21 FTE'!AC$120</f>
        <v>0</v>
      </c>
      <c r="AD68" s="28">
        <f>'FY21 Final Initial $$'!AD68/'FY21 FTE'!AD$120</f>
        <v>0</v>
      </c>
      <c r="AE68" s="28">
        <f>'FY21 Final Initial $$'!AE68/'FY21 FTE'!AE$120</f>
        <v>0</v>
      </c>
      <c r="AF68" s="28">
        <f>'FY21 Final Initial $$'!AF68/'FY21 FTE'!AF$120</f>
        <v>0</v>
      </c>
      <c r="AG68" s="28">
        <f>'FY21 Final Initial $$'!AG68/'FY21 FTE'!AG$120</f>
        <v>0</v>
      </c>
      <c r="AH68" s="28">
        <f>'FY21 Final Initial $$'!AH68/'FY21 FTE'!AH$120</f>
        <v>0</v>
      </c>
      <c r="AI68" s="28">
        <f>'FY21 Final Initial $$'!AI68/'FY21 FTE'!AI$120</f>
        <v>0</v>
      </c>
      <c r="AJ68" s="28">
        <f>'FY21 Final Initial $$'!AJ68/'FY21 FTE'!AJ$120</f>
        <v>0</v>
      </c>
      <c r="AK68" s="28">
        <f>'FY21 Final Initial $$'!AK68/'FY21 FTE'!AK$120</f>
        <v>0</v>
      </c>
      <c r="AL68" s="28">
        <f>'FY21 Final Initial $$'!AL68/'FY21 FTE'!AL$120</f>
        <v>0</v>
      </c>
      <c r="AM68" s="28">
        <f>'FY21 Final Initial $$'!AM68/'FY21 FTE'!AM$120</f>
        <v>0</v>
      </c>
      <c r="AN68" s="28">
        <f>'FY21 Final Initial $$'!AN68/'FY21 FTE'!AN$120</f>
        <v>0</v>
      </c>
      <c r="AO68" s="28">
        <f>'FY21 Final Initial $$'!AO68/'FY21 FTE'!AO$120</f>
        <v>0</v>
      </c>
      <c r="AP68" s="28">
        <f>'FY21 Final Initial $$'!AP68/'FY21 FTE'!AP$120</f>
        <v>0</v>
      </c>
      <c r="AQ68" s="28">
        <f>'FY21 Final Initial $$'!AQ68/'FY21 FTE'!AQ$120</f>
        <v>0</v>
      </c>
      <c r="AR68" s="28">
        <f>'FY21 Final Initial $$'!AR68/'FY21 FTE'!AR$120</f>
        <v>8.4</v>
      </c>
      <c r="AS68" s="28">
        <f>'FY21 Final Initial $$'!AS68/'FY21 FTE'!AS$120</f>
        <v>7.3</v>
      </c>
      <c r="AT68" s="28">
        <f>'FY21 Final Initial $$'!AT68/'FY21 FTE'!AT$120</f>
        <v>6.7000000000000011</v>
      </c>
      <c r="AU68" s="28">
        <f>'FY21 Final Initial $$'!AU68/'FY21 FTE'!AU$120</f>
        <v>6.3</v>
      </c>
      <c r="AV68" s="28">
        <f>'FY21 Final Initial $$'!AV68/'FY21 FTE'!AV$120</f>
        <v>0</v>
      </c>
      <c r="AW68" s="28">
        <f>'FY21 Final Initial $$'!AW68/'FY21 FTE'!AW$120</f>
        <v>0</v>
      </c>
      <c r="AX68" s="28">
        <f>'FY21 Final Initial $$'!AX68/'FY21 FTE'!AX$120</f>
        <v>0</v>
      </c>
      <c r="AY68" s="28">
        <f>'FY21 Final Initial $$'!AY68/'FY21 FTE'!AY$120</f>
        <v>1</v>
      </c>
      <c r="AZ68" s="28">
        <f>'FY21 Final Initial $$'!AZ68/'FY21 FTE'!AZ$120</f>
        <v>2</v>
      </c>
      <c r="BA68" s="28">
        <f>'FY21 Final Initial $$'!BA68/'FY21 FTE'!BA$120</f>
        <v>2</v>
      </c>
      <c r="BB68" s="28">
        <f>'FY21 Final Initial $$'!BB68/'FY21 FTE'!BB$120</f>
        <v>0</v>
      </c>
      <c r="BC68" s="28">
        <f>'FY21 Final Initial $$'!BC68/'FY21 FTE'!BC$120</f>
        <v>0</v>
      </c>
      <c r="BD68" s="28">
        <f>'FY21 Final Initial $$'!BD68/'FY21 FTE'!BD$120</f>
        <v>0</v>
      </c>
      <c r="BE68" s="28">
        <f>'FY21 Final Initial $$'!BE68/'FY21 FTE'!BE$120</f>
        <v>1</v>
      </c>
      <c r="BF68" s="28">
        <f>'FY21 Final Initial $$'!BF68/'FY21 FTE'!BF$120</f>
        <v>0</v>
      </c>
      <c r="BG68" s="28">
        <f>'FY21 Final Initial $$'!BG68/'FY21 FTE'!BG$120</f>
        <v>0</v>
      </c>
      <c r="BH68" s="28">
        <f>'FY21 Final Initial $$'!BH68/'FY21 FTE'!BH$120</f>
        <v>0</v>
      </c>
      <c r="BI68" s="28">
        <f>'FY21 Final Initial $$'!BI68/'FY21 FTE'!BI$120</f>
        <v>0</v>
      </c>
      <c r="BJ68" s="28">
        <f>'FY21 Final Initial $$'!BJ68/'FY21 FTE'!BJ$120</f>
        <v>0</v>
      </c>
      <c r="BK68" s="20">
        <v>0</v>
      </c>
      <c r="BL68" s="20"/>
      <c r="BM68" s="20"/>
      <c r="BN68" s="20">
        <v>200390.22</v>
      </c>
      <c r="BO68" s="20">
        <v>3234.92</v>
      </c>
      <c r="BP68" s="20">
        <v>0</v>
      </c>
      <c r="BQ68" s="28">
        <f>'FY21 Final Initial $$'!BQ68/'FY21 FTE'!BQ$120</f>
        <v>0</v>
      </c>
      <c r="BR68" s="28">
        <f>'FY21 Final Initial $$'!BR68/'FY21 FTE'!BR$120</f>
        <v>0</v>
      </c>
      <c r="BS68" s="28">
        <f>'FY21 Final Initial $$'!BS68/'FY21 FTE'!BS$120</f>
        <v>0</v>
      </c>
      <c r="BT68" s="28">
        <f>'FY21 Final Initial $$'!BT68/'FY21 FTE'!BT$120</f>
        <v>0</v>
      </c>
      <c r="BU68" s="28">
        <f>'FY21 Final Initial $$'!BU68/'FY21 FTE'!BU$120</f>
        <v>0</v>
      </c>
      <c r="BV68" s="28">
        <f>'FY21 Final Initial $$'!BV68/'FY21 FTE'!BV$120</f>
        <v>0</v>
      </c>
      <c r="BW68" s="28">
        <f>'FY21 Final Initial $$'!BW68/'FY21 FTE'!BW$120</f>
        <v>0</v>
      </c>
      <c r="BX68" s="20">
        <v>0</v>
      </c>
      <c r="BY68" s="20">
        <v>0</v>
      </c>
      <c r="BZ68" s="20">
        <v>0</v>
      </c>
      <c r="CA68" s="20">
        <v>90000</v>
      </c>
      <c r="CB68" s="28">
        <f>'FY21 Final Initial $$'!CB68/'FY21 FTE'!CB$120</f>
        <v>0</v>
      </c>
      <c r="CC68" s="28">
        <f>'FY21 Final Initial $$'!CC68/'FY21 FTE'!CC$120</f>
        <v>0</v>
      </c>
      <c r="CD68" s="20">
        <v>0</v>
      </c>
      <c r="CE68" s="28">
        <f>'FY21 Final Initial $$'!CE68/'FY21 FTE'!CE$120</f>
        <v>2</v>
      </c>
      <c r="CF68" s="28">
        <f>'FY21 Final Initial $$'!CF68/'FY21 FTE'!CF$120</f>
        <v>0</v>
      </c>
      <c r="CG68" s="28">
        <f>'FY21 Final Initial $$'!CG68/'FY21 FTE'!CG$120</f>
        <v>3</v>
      </c>
      <c r="CH68" s="28">
        <f>'FY21 Final Initial $$'!CH68/'FY21 FTE'!CH$120</f>
        <v>0</v>
      </c>
      <c r="CI68" s="28">
        <f>'FY21 Final Initial $$'!CI68/'FY21 FTE'!CI$120</f>
        <v>1</v>
      </c>
      <c r="CJ68" s="28">
        <f>'FY21 Final Initial $$'!CJ68/'FY21 FTE'!CJ$120</f>
        <v>0</v>
      </c>
      <c r="CK68" s="28">
        <f>'FY21 Final Initial $$'!CK68/'FY21 FTE'!CK$120</f>
        <v>0</v>
      </c>
      <c r="CL68" s="28">
        <f>'FY21 Final Initial $$'!CL68/'FY21 FTE'!CL$120</f>
        <v>0</v>
      </c>
      <c r="CM68" s="20">
        <v>0</v>
      </c>
      <c r="CN68" s="20">
        <v>0</v>
      </c>
      <c r="CO68" s="20">
        <v>355889.44</v>
      </c>
      <c r="CP68" s="20">
        <v>0</v>
      </c>
      <c r="CQ68" s="28">
        <f>'FY21 Final Initial $$'!CQ68/'FY21 FTE'!CQ$120</f>
        <v>1</v>
      </c>
      <c r="CR68" s="20">
        <v>0</v>
      </c>
      <c r="CS68" s="20">
        <v>5280</v>
      </c>
      <c r="CT68" s="20">
        <v>0</v>
      </c>
      <c r="CU68" s="20">
        <v>95151.75</v>
      </c>
      <c r="CV68" s="28">
        <f>'FY21 Final Initial $$'!CV68/'FY21 FTE'!CV$120</f>
        <v>0</v>
      </c>
      <c r="CW68" s="28">
        <f>'FY21 Final Initial $$'!CW68/'FY21 FTE'!CW$120</f>
        <v>0</v>
      </c>
      <c r="CX68" s="20">
        <v>0</v>
      </c>
      <c r="CY68" s="28">
        <f>'FY21 Final Initial $$'!CY68/'FY21 FTE'!CY$120</f>
        <v>0</v>
      </c>
      <c r="CZ68" s="20">
        <v>0</v>
      </c>
      <c r="DA68" s="20">
        <v>0</v>
      </c>
      <c r="DB68" s="20">
        <v>68600</v>
      </c>
      <c r="DC68" s="20">
        <v>93169.792577740474</v>
      </c>
      <c r="DD68" s="20">
        <v>0</v>
      </c>
      <c r="DE68" s="20">
        <v>1680585.0389999999</v>
      </c>
      <c r="DF68" s="20">
        <v>0</v>
      </c>
      <c r="DG68" s="20">
        <v>0</v>
      </c>
      <c r="DH68" s="28">
        <f>'FY21 Final Initial $$'!DH68/'FY21 FTE'!DH$120</f>
        <v>0</v>
      </c>
      <c r="DI68" s="20"/>
      <c r="DJ68" s="20">
        <v>3150.0000234693289</v>
      </c>
      <c r="DK68" s="22">
        <v>0</v>
      </c>
      <c r="DL68" s="20">
        <v>0</v>
      </c>
      <c r="DM68" s="20">
        <v>0</v>
      </c>
      <c r="DN68" s="20">
        <v>9135446.9600061253</v>
      </c>
      <c r="DO68" s="29">
        <f t="shared" si="6"/>
        <v>0</v>
      </c>
      <c r="DP68" s="29">
        <f t="shared" si="6"/>
        <v>0</v>
      </c>
      <c r="DQ68" s="29">
        <f t="shared" si="7"/>
        <v>28.7</v>
      </c>
      <c r="DR68" s="29">
        <f t="shared" si="8"/>
        <v>6</v>
      </c>
      <c r="DS68" s="29">
        <f t="shared" si="9"/>
        <v>0</v>
      </c>
    </row>
    <row r="69" spans="1:123" x14ac:dyDescent="0.25">
      <c r="A69" s="18">
        <v>280</v>
      </c>
      <c r="B69" t="s">
        <v>209</v>
      </c>
      <c r="C69" t="s">
        <v>135</v>
      </c>
      <c r="D69">
        <v>6</v>
      </c>
      <c r="E69">
        <v>390</v>
      </c>
      <c r="F69" s="19">
        <f t="shared" si="5"/>
        <v>0.62820512820512819</v>
      </c>
      <c r="G69">
        <v>245</v>
      </c>
      <c r="H69" s="28">
        <f>'FY21 Final Initial $$'!H69/'FY21 FTE'!H$120</f>
        <v>1</v>
      </c>
      <c r="I69" s="28">
        <f>'FY21 Final Initial $$'!I69/'FY21 FTE'!I$120</f>
        <v>1</v>
      </c>
      <c r="J69" s="28">
        <f>'FY21 Final Initial $$'!J69/'FY21 FTE'!J$120</f>
        <v>1</v>
      </c>
      <c r="K69" s="28">
        <f>'FY21 Final Initial $$'!K69/'FY21 FTE'!K$120</f>
        <v>0</v>
      </c>
      <c r="L69" s="28">
        <f>'FY21 Final Initial $$'!L69/'FY21 FTE'!L$120</f>
        <v>0</v>
      </c>
      <c r="M69" s="28">
        <f>'FY21 Final Initial $$'!M69/'FY21 FTE'!M$120</f>
        <v>1</v>
      </c>
      <c r="N69" s="28">
        <f>'FY21 Final Initial $$'!N69/'FY21 FTE'!N$120</f>
        <v>1</v>
      </c>
      <c r="O69" s="28">
        <f>'FY21 Final Initial $$'!O69/'FY21 FTE'!O$120</f>
        <v>0</v>
      </c>
      <c r="P69" s="28">
        <f>'FY21 Final Initial $$'!P69/'FY21 FTE'!P$120</f>
        <v>0</v>
      </c>
      <c r="Q69" s="28">
        <f>'FY21 Final Initial $$'!Q69/'FY21 FTE'!Q$120</f>
        <v>0</v>
      </c>
      <c r="R69" s="28">
        <f>'FY21 Final Initial $$'!R69/'FY21 FTE'!R$120</f>
        <v>0</v>
      </c>
      <c r="S69" s="28">
        <f>'FY21 Final Initial $$'!S69/'FY21 FTE'!S$120</f>
        <v>1</v>
      </c>
      <c r="T69" s="28">
        <f>'FY21 Final Initial $$'!T69/'FY21 FTE'!T$120</f>
        <v>1</v>
      </c>
      <c r="U69" s="28">
        <f>'FY21 Final Initial $$'!U69/'FY21 FTE'!U$120</f>
        <v>2</v>
      </c>
      <c r="V69" s="28">
        <f>'FY21 Final Initial $$'!V69/'FY21 FTE'!V$120</f>
        <v>1</v>
      </c>
      <c r="W69" s="28">
        <f>'FY21 Final Initial $$'!W69/'FY21 FTE'!W$120</f>
        <v>1</v>
      </c>
      <c r="X69" s="28">
        <f>'FY21 Final Initial $$'!X69/'FY21 FTE'!X$120</f>
        <v>1</v>
      </c>
      <c r="Y69" s="28">
        <f>'FY21 Final Initial $$'!Y69/'FY21 FTE'!Y$120</f>
        <v>1</v>
      </c>
      <c r="Z69" s="28">
        <f>'FY21 Final Initial $$'!Z69/'FY21 FTE'!Z$120</f>
        <v>0</v>
      </c>
      <c r="AA69" s="28">
        <f>'FY21 Final Initial $$'!AA69/'FY21 FTE'!AA$120</f>
        <v>3</v>
      </c>
      <c r="AB69" s="28">
        <f>'FY21 Final Initial $$'!AB69/'FY21 FTE'!AB$120</f>
        <v>3</v>
      </c>
      <c r="AC69" s="28">
        <f>'FY21 Final Initial $$'!AC69/'FY21 FTE'!AC$120</f>
        <v>3</v>
      </c>
      <c r="AD69" s="28">
        <f>'FY21 Final Initial $$'!AD69/'FY21 FTE'!AD$120</f>
        <v>1</v>
      </c>
      <c r="AE69" s="28">
        <f>'FY21 Final Initial $$'!AE69/'FY21 FTE'!AE$120</f>
        <v>1</v>
      </c>
      <c r="AF69" s="28">
        <f>'FY21 Final Initial $$'!AF69/'FY21 FTE'!AF$120</f>
        <v>4</v>
      </c>
      <c r="AG69" s="28">
        <f>'FY21 Final Initial $$'!AG69/'FY21 FTE'!AG$120</f>
        <v>4</v>
      </c>
      <c r="AH69" s="28">
        <f>'FY21 Final Initial $$'!AH69/'FY21 FTE'!AH$120</f>
        <v>3</v>
      </c>
      <c r="AI69" s="28">
        <f>'FY21 Final Initial $$'!AI69/'FY21 FTE'!AI$120</f>
        <v>3</v>
      </c>
      <c r="AJ69" s="28">
        <f>'FY21 Final Initial $$'!AJ69/'FY21 FTE'!AJ$120</f>
        <v>2</v>
      </c>
      <c r="AK69" s="28">
        <f>'FY21 Final Initial $$'!AK69/'FY21 FTE'!AK$120</f>
        <v>2</v>
      </c>
      <c r="AL69" s="28">
        <f>'FY21 Final Initial $$'!AL69/'FY21 FTE'!AL$120</f>
        <v>2</v>
      </c>
      <c r="AM69" s="28">
        <f>'FY21 Final Initial $$'!AM69/'FY21 FTE'!AM$120</f>
        <v>2</v>
      </c>
      <c r="AN69" s="28">
        <f>'FY21 Final Initial $$'!AN69/'FY21 FTE'!AN$120</f>
        <v>2.0000000000000027</v>
      </c>
      <c r="AO69" s="28">
        <f>'FY21 Final Initial $$'!AO69/'FY21 FTE'!AO$120</f>
        <v>0</v>
      </c>
      <c r="AP69" s="28">
        <f>'FY21 Final Initial $$'!AP69/'FY21 FTE'!AP$120</f>
        <v>0</v>
      </c>
      <c r="AQ69" s="28">
        <f>'FY21 Final Initial $$'!AQ69/'FY21 FTE'!AQ$120</f>
        <v>0</v>
      </c>
      <c r="AR69" s="28">
        <f>'FY21 Final Initial $$'!AR69/'FY21 FTE'!AR$120</f>
        <v>0</v>
      </c>
      <c r="AS69" s="28">
        <f>'FY21 Final Initial $$'!AS69/'FY21 FTE'!AS$120</f>
        <v>0</v>
      </c>
      <c r="AT69" s="28">
        <f>'FY21 Final Initial $$'!AT69/'FY21 FTE'!AT$120</f>
        <v>0</v>
      </c>
      <c r="AU69" s="28">
        <f>'FY21 Final Initial $$'!AU69/'FY21 FTE'!AU$120</f>
        <v>0</v>
      </c>
      <c r="AV69" s="28">
        <f>'FY21 Final Initial $$'!AV69/'FY21 FTE'!AV$120</f>
        <v>0</v>
      </c>
      <c r="AW69" s="28">
        <f>'FY21 Final Initial $$'!AW69/'FY21 FTE'!AW$120</f>
        <v>0</v>
      </c>
      <c r="AX69" s="28">
        <f>'FY21 Final Initial $$'!AX69/'FY21 FTE'!AX$120</f>
        <v>0</v>
      </c>
      <c r="AY69" s="28">
        <f>'FY21 Final Initial $$'!AY69/'FY21 FTE'!AY$120</f>
        <v>1</v>
      </c>
      <c r="AZ69" s="28">
        <f>'FY21 Final Initial $$'!AZ69/'FY21 FTE'!AZ$120</f>
        <v>2</v>
      </c>
      <c r="BA69" s="28">
        <f>'FY21 Final Initial $$'!BA69/'FY21 FTE'!BA$120</f>
        <v>9</v>
      </c>
      <c r="BB69" s="28">
        <f>'FY21 Final Initial $$'!BB69/'FY21 FTE'!BB$120</f>
        <v>5</v>
      </c>
      <c r="BC69" s="28">
        <f>'FY21 Final Initial $$'!BC69/'FY21 FTE'!BC$120</f>
        <v>0</v>
      </c>
      <c r="BD69" s="28">
        <f>'FY21 Final Initial $$'!BD69/'FY21 FTE'!BD$120</f>
        <v>0</v>
      </c>
      <c r="BE69" s="28">
        <f>'FY21 Final Initial $$'!BE69/'FY21 FTE'!BE$120</f>
        <v>1</v>
      </c>
      <c r="BF69" s="28">
        <f>'FY21 Final Initial $$'!BF69/'FY21 FTE'!BF$120</f>
        <v>0</v>
      </c>
      <c r="BG69" s="28">
        <f>'FY21 Final Initial $$'!BG69/'FY21 FTE'!BG$120</f>
        <v>0</v>
      </c>
      <c r="BH69" s="28">
        <f>'FY21 Final Initial $$'!BH69/'FY21 FTE'!BH$120</f>
        <v>4</v>
      </c>
      <c r="BI69" s="28">
        <f>'FY21 Final Initial $$'!BI69/'FY21 FTE'!BI$120</f>
        <v>4</v>
      </c>
      <c r="BJ69" s="28">
        <f>'FY21 Final Initial $$'!BJ69/'FY21 FTE'!BJ$120</f>
        <v>1</v>
      </c>
      <c r="BK69" s="20">
        <v>0</v>
      </c>
      <c r="BL69" s="20"/>
      <c r="BM69" s="20"/>
      <c r="BN69" s="20">
        <v>158963.22</v>
      </c>
      <c r="BO69" s="20">
        <v>2629.87</v>
      </c>
      <c r="BP69" s="20">
        <v>0</v>
      </c>
      <c r="BQ69" s="28">
        <f>'FY21 Final Initial $$'!BQ69/'FY21 FTE'!BQ$120</f>
        <v>0</v>
      </c>
      <c r="BR69" s="28">
        <f>'FY21 Final Initial $$'!BR69/'FY21 FTE'!BR$120</f>
        <v>0</v>
      </c>
      <c r="BS69" s="28">
        <f>'FY21 Final Initial $$'!BS69/'FY21 FTE'!BS$120</f>
        <v>0</v>
      </c>
      <c r="BT69" s="28">
        <f>'FY21 Final Initial $$'!BT69/'FY21 FTE'!BT$120</f>
        <v>0</v>
      </c>
      <c r="BU69" s="28">
        <f>'FY21 Final Initial $$'!BU69/'FY21 FTE'!BU$120</f>
        <v>0</v>
      </c>
      <c r="BV69" s="28">
        <f>'FY21 Final Initial $$'!BV69/'FY21 FTE'!BV$120</f>
        <v>0</v>
      </c>
      <c r="BW69" s="28">
        <f>'FY21 Final Initial $$'!BW69/'FY21 FTE'!BW$120</f>
        <v>0</v>
      </c>
      <c r="BX69" s="20">
        <v>0</v>
      </c>
      <c r="BY69" s="20">
        <v>0</v>
      </c>
      <c r="BZ69" s="20">
        <v>0</v>
      </c>
      <c r="CA69" s="20">
        <v>0</v>
      </c>
      <c r="CB69" s="28">
        <f>'FY21 Final Initial $$'!CB69/'FY21 FTE'!CB$120</f>
        <v>0</v>
      </c>
      <c r="CC69" s="28">
        <f>'FY21 Final Initial $$'!CC69/'FY21 FTE'!CC$120</f>
        <v>0</v>
      </c>
      <c r="CD69" s="20">
        <v>0</v>
      </c>
      <c r="CE69" s="28">
        <f>'FY21 Final Initial $$'!CE69/'FY21 FTE'!CE$120</f>
        <v>0</v>
      </c>
      <c r="CF69" s="28">
        <f>'FY21 Final Initial $$'!CF69/'FY21 FTE'!CF$120</f>
        <v>0</v>
      </c>
      <c r="CG69" s="28">
        <f>'FY21 Final Initial $$'!CG69/'FY21 FTE'!CG$120</f>
        <v>0</v>
      </c>
      <c r="CH69" s="28">
        <f>'FY21 Final Initial $$'!CH69/'FY21 FTE'!CH$120</f>
        <v>0</v>
      </c>
      <c r="CI69" s="28">
        <f>'FY21 Final Initial $$'!CI69/'FY21 FTE'!CI$120</f>
        <v>0</v>
      </c>
      <c r="CJ69" s="28">
        <f>'FY21 Final Initial $$'!CJ69/'FY21 FTE'!CJ$120</f>
        <v>0</v>
      </c>
      <c r="CK69" s="28">
        <f>'FY21 Final Initial $$'!CK69/'FY21 FTE'!CK$120</f>
        <v>0</v>
      </c>
      <c r="CL69" s="28">
        <f>'FY21 Final Initial $$'!CL69/'FY21 FTE'!CL$120</f>
        <v>0</v>
      </c>
      <c r="CM69" s="20">
        <v>0</v>
      </c>
      <c r="CN69" s="20">
        <v>0</v>
      </c>
      <c r="CO69" s="20">
        <v>111843.51999999999</v>
      </c>
      <c r="CP69" s="20">
        <v>0</v>
      </c>
      <c r="CQ69" s="28">
        <f>'FY21 Final Initial $$'!CQ69/'FY21 FTE'!CQ$120</f>
        <v>0</v>
      </c>
      <c r="CR69" s="20">
        <v>0</v>
      </c>
      <c r="CS69" s="20">
        <v>4900</v>
      </c>
      <c r="CT69" s="20">
        <v>0</v>
      </c>
      <c r="CU69" s="20">
        <v>21367.454545454544</v>
      </c>
      <c r="CV69" s="28">
        <f>'FY21 Final Initial $$'!CV69/'FY21 FTE'!CV$120</f>
        <v>0</v>
      </c>
      <c r="CW69" s="28">
        <f>'FY21 Final Initial $$'!CW69/'FY21 FTE'!CW$120</f>
        <v>0</v>
      </c>
      <c r="CX69" s="20">
        <v>0</v>
      </c>
      <c r="CY69" s="28">
        <f>'FY21 Final Initial $$'!CY69/'FY21 FTE'!CY$120</f>
        <v>0</v>
      </c>
      <c r="CZ69" s="20">
        <v>0</v>
      </c>
      <c r="DA69" s="20">
        <v>0</v>
      </c>
      <c r="DB69" s="20">
        <v>39000</v>
      </c>
      <c r="DC69" s="20">
        <v>95361.650111495648</v>
      </c>
      <c r="DD69" s="20">
        <v>0</v>
      </c>
      <c r="DE69" s="20">
        <v>0</v>
      </c>
      <c r="DF69" s="20">
        <v>0</v>
      </c>
      <c r="DG69" s="20">
        <v>0</v>
      </c>
      <c r="DH69" s="28">
        <f>'FY21 Final Initial $$'!DH69/'FY21 FTE'!DH$120</f>
        <v>0</v>
      </c>
      <c r="DI69" s="20"/>
      <c r="DJ69" s="20">
        <v>23725.000280886889</v>
      </c>
      <c r="DK69" s="22">
        <v>0</v>
      </c>
      <c r="DL69" s="20">
        <v>0</v>
      </c>
      <c r="DM69" s="20">
        <v>0</v>
      </c>
      <c r="DN69" s="20">
        <v>6477534.5727947094</v>
      </c>
      <c r="DO69" s="29">
        <f t="shared" si="6"/>
        <v>11</v>
      </c>
      <c r="DP69" s="29">
        <f t="shared" si="6"/>
        <v>11</v>
      </c>
      <c r="DQ69" s="29">
        <f t="shared" si="7"/>
        <v>10.000000000000004</v>
      </c>
      <c r="DR69" s="29">
        <f t="shared" si="8"/>
        <v>13</v>
      </c>
      <c r="DS69" s="29">
        <f t="shared" si="9"/>
        <v>5</v>
      </c>
    </row>
    <row r="70" spans="1:123" x14ac:dyDescent="0.25">
      <c r="A70" s="18">
        <v>285</v>
      </c>
      <c r="B70" t="s">
        <v>210</v>
      </c>
      <c r="C70" t="s">
        <v>135</v>
      </c>
      <c r="D70">
        <v>8</v>
      </c>
      <c r="E70">
        <v>261</v>
      </c>
      <c r="F70" s="19">
        <f t="shared" si="5"/>
        <v>0.94636015325670497</v>
      </c>
      <c r="G70">
        <v>247</v>
      </c>
      <c r="H70" s="28">
        <f>'FY21 Final Initial $$'!H70/'FY21 FTE'!H$120</f>
        <v>1</v>
      </c>
      <c r="I70" s="28">
        <f>'FY21 Final Initial $$'!I70/'FY21 FTE'!I$120</f>
        <v>1</v>
      </c>
      <c r="J70" s="28">
        <f>'FY21 Final Initial $$'!J70/'FY21 FTE'!J$120</f>
        <v>0</v>
      </c>
      <c r="K70" s="28">
        <f>'FY21 Final Initial $$'!K70/'FY21 FTE'!K$120</f>
        <v>0</v>
      </c>
      <c r="L70" s="28">
        <f>'FY21 Final Initial $$'!L70/'FY21 FTE'!L$120</f>
        <v>0</v>
      </c>
      <c r="M70" s="28">
        <f>'FY21 Final Initial $$'!M70/'FY21 FTE'!M$120</f>
        <v>0.5</v>
      </c>
      <c r="N70" s="28">
        <f>'FY21 Final Initial $$'!N70/'FY21 FTE'!N$120</f>
        <v>1</v>
      </c>
      <c r="O70" s="28">
        <f>'FY21 Final Initial $$'!O70/'FY21 FTE'!O$120</f>
        <v>0</v>
      </c>
      <c r="P70" s="28">
        <f>'FY21 Final Initial $$'!P70/'FY21 FTE'!P$120</f>
        <v>0</v>
      </c>
      <c r="Q70" s="28">
        <f>'FY21 Final Initial $$'!Q70/'FY21 FTE'!Q$120</f>
        <v>0</v>
      </c>
      <c r="R70" s="28">
        <f>'FY21 Final Initial $$'!R70/'FY21 FTE'!R$120</f>
        <v>0</v>
      </c>
      <c r="S70" s="28">
        <f>'FY21 Final Initial $$'!S70/'FY21 FTE'!S$120</f>
        <v>1</v>
      </c>
      <c r="T70" s="28">
        <f>'FY21 Final Initial $$'!T70/'FY21 FTE'!T$120</f>
        <v>1</v>
      </c>
      <c r="U70" s="28">
        <f>'FY21 Final Initial $$'!U70/'FY21 FTE'!U$120</f>
        <v>1</v>
      </c>
      <c r="V70" s="28">
        <f>'FY21 Final Initial $$'!V70/'FY21 FTE'!V$120</f>
        <v>0.5</v>
      </c>
      <c r="W70" s="28">
        <f>'FY21 Final Initial $$'!W70/'FY21 FTE'!W$120</f>
        <v>1</v>
      </c>
      <c r="X70" s="28">
        <f>'FY21 Final Initial $$'!X70/'FY21 FTE'!X$120</f>
        <v>1</v>
      </c>
      <c r="Y70" s="28">
        <f>'FY21 Final Initial $$'!Y70/'FY21 FTE'!Y$120</f>
        <v>1</v>
      </c>
      <c r="Z70" s="28">
        <f>'FY21 Final Initial $$'!Z70/'FY21 FTE'!Z$120</f>
        <v>0</v>
      </c>
      <c r="AA70" s="28">
        <f>'FY21 Final Initial $$'!AA70/'FY21 FTE'!AA$120</f>
        <v>0</v>
      </c>
      <c r="AB70" s="28">
        <f>'FY21 Final Initial $$'!AB70/'FY21 FTE'!AB$120</f>
        <v>2</v>
      </c>
      <c r="AC70" s="28">
        <f>'FY21 Final Initial $$'!AC70/'FY21 FTE'!AC$120</f>
        <v>2</v>
      </c>
      <c r="AD70" s="28">
        <f>'FY21 Final Initial $$'!AD70/'FY21 FTE'!AD$120</f>
        <v>1</v>
      </c>
      <c r="AE70" s="28">
        <f>'FY21 Final Initial $$'!AE70/'FY21 FTE'!AE$120</f>
        <v>1</v>
      </c>
      <c r="AF70" s="28">
        <f>'FY21 Final Initial $$'!AF70/'FY21 FTE'!AF$120</f>
        <v>2</v>
      </c>
      <c r="AG70" s="28">
        <f>'FY21 Final Initial $$'!AG70/'FY21 FTE'!AG$120</f>
        <v>2</v>
      </c>
      <c r="AH70" s="28">
        <f>'FY21 Final Initial $$'!AH70/'FY21 FTE'!AH$120</f>
        <v>2</v>
      </c>
      <c r="AI70" s="28">
        <f>'FY21 Final Initial $$'!AI70/'FY21 FTE'!AI$120</f>
        <v>2</v>
      </c>
      <c r="AJ70" s="28">
        <f>'FY21 Final Initial $$'!AJ70/'FY21 FTE'!AJ$120</f>
        <v>1</v>
      </c>
      <c r="AK70" s="28">
        <f>'FY21 Final Initial $$'!AK70/'FY21 FTE'!AK$120</f>
        <v>2</v>
      </c>
      <c r="AL70" s="28">
        <f>'FY21 Final Initial $$'!AL70/'FY21 FTE'!AL$120</f>
        <v>2</v>
      </c>
      <c r="AM70" s="28">
        <f>'FY21 Final Initial $$'!AM70/'FY21 FTE'!AM$120</f>
        <v>2</v>
      </c>
      <c r="AN70" s="28">
        <f>'FY21 Final Initial $$'!AN70/'FY21 FTE'!AN$120</f>
        <v>2.0000000000000027</v>
      </c>
      <c r="AO70" s="28">
        <f>'FY21 Final Initial $$'!AO70/'FY21 FTE'!AO$120</f>
        <v>0</v>
      </c>
      <c r="AP70" s="28">
        <f>'FY21 Final Initial $$'!AP70/'FY21 FTE'!AP$120</f>
        <v>0</v>
      </c>
      <c r="AQ70" s="28">
        <f>'FY21 Final Initial $$'!AQ70/'FY21 FTE'!AQ$120</f>
        <v>0</v>
      </c>
      <c r="AR70" s="28">
        <f>'FY21 Final Initial $$'!AR70/'FY21 FTE'!AR$120</f>
        <v>0</v>
      </c>
      <c r="AS70" s="28">
        <f>'FY21 Final Initial $$'!AS70/'FY21 FTE'!AS$120</f>
        <v>0</v>
      </c>
      <c r="AT70" s="28">
        <f>'FY21 Final Initial $$'!AT70/'FY21 FTE'!AT$120</f>
        <v>0</v>
      </c>
      <c r="AU70" s="28">
        <f>'FY21 Final Initial $$'!AU70/'FY21 FTE'!AU$120</f>
        <v>0</v>
      </c>
      <c r="AV70" s="28">
        <f>'FY21 Final Initial $$'!AV70/'FY21 FTE'!AV$120</f>
        <v>0</v>
      </c>
      <c r="AW70" s="28">
        <f>'FY21 Final Initial $$'!AW70/'FY21 FTE'!AW$120</f>
        <v>0</v>
      </c>
      <c r="AX70" s="28">
        <f>'FY21 Final Initial $$'!AX70/'FY21 FTE'!AX$120</f>
        <v>0</v>
      </c>
      <c r="AY70" s="28">
        <f>'FY21 Final Initial $$'!AY70/'FY21 FTE'!AY$120</f>
        <v>1</v>
      </c>
      <c r="AZ70" s="28">
        <f>'FY21 Final Initial $$'!AZ70/'FY21 FTE'!AZ$120</f>
        <v>2</v>
      </c>
      <c r="BA70" s="28">
        <f>'FY21 Final Initial $$'!BA70/'FY21 FTE'!BA$120</f>
        <v>5</v>
      </c>
      <c r="BB70" s="28">
        <f>'FY21 Final Initial $$'!BB70/'FY21 FTE'!BB$120</f>
        <v>2</v>
      </c>
      <c r="BC70" s="28">
        <f>'FY21 Final Initial $$'!BC70/'FY21 FTE'!BC$120</f>
        <v>0</v>
      </c>
      <c r="BD70" s="28">
        <f>'FY21 Final Initial $$'!BD70/'FY21 FTE'!BD$120</f>
        <v>0</v>
      </c>
      <c r="BE70" s="28">
        <f>'FY21 Final Initial $$'!BE70/'FY21 FTE'!BE$120</f>
        <v>4.5454545454545456E-2</v>
      </c>
      <c r="BF70" s="28">
        <f>'FY21 Final Initial $$'!BF70/'FY21 FTE'!BF$120</f>
        <v>0</v>
      </c>
      <c r="BG70" s="28">
        <f>'FY21 Final Initial $$'!BG70/'FY21 FTE'!BG$120</f>
        <v>0</v>
      </c>
      <c r="BH70" s="28">
        <f>'FY21 Final Initial $$'!BH70/'FY21 FTE'!BH$120</f>
        <v>3</v>
      </c>
      <c r="BI70" s="28">
        <f>'FY21 Final Initial $$'!BI70/'FY21 FTE'!BI$120</f>
        <v>3</v>
      </c>
      <c r="BJ70" s="28">
        <f>'FY21 Final Initial $$'!BJ70/'FY21 FTE'!BJ$120</f>
        <v>1</v>
      </c>
      <c r="BK70" s="20">
        <v>0</v>
      </c>
      <c r="BL70" s="20"/>
      <c r="BM70" s="20"/>
      <c r="BN70" s="20">
        <v>122738.36</v>
      </c>
      <c r="BO70" s="20">
        <v>2030.57</v>
      </c>
      <c r="BP70" s="20">
        <v>0</v>
      </c>
      <c r="BQ70" s="28">
        <f>'FY21 Final Initial $$'!BQ70/'FY21 FTE'!BQ$120</f>
        <v>0</v>
      </c>
      <c r="BR70" s="28">
        <f>'FY21 Final Initial $$'!BR70/'FY21 FTE'!BR$120</f>
        <v>0</v>
      </c>
      <c r="BS70" s="28">
        <f>'FY21 Final Initial $$'!BS70/'FY21 FTE'!BS$120</f>
        <v>0</v>
      </c>
      <c r="BT70" s="28">
        <f>'FY21 Final Initial $$'!BT70/'FY21 FTE'!BT$120</f>
        <v>0</v>
      </c>
      <c r="BU70" s="28">
        <f>'FY21 Final Initial $$'!BU70/'FY21 FTE'!BU$120</f>
        <v>1</v>
      </c>
      <c r="BV70" s="28">
        <f>'FY21 Final Initial $$'!BV70/'FY21 FTE'!BV$120</f>
        <v>0</v>
      </c>
      <c r="BW70" s="28">
        <f>'FY21 Final Initial $$'!BW70/'FY21 FTE'!BW$120</f>
        <v>0</v>
      </c>
      <c r="BX70" s="20">
        <v>0</v>
      </c>
      <c r="BY70" s="20">
        <v>0</v>
      </c>
      <c r="BZ70" s="20">
        <v>0</v>
      </c>
      <c r="CA70" s="20">
        <v>0</v>
      </c>
      <c r="CB70" s="28">
        <f>'FY21 Final Initial $$'!CB70/'FY21 FTE'!CB$120</f>
        <v>0</v>
      </c>
      <c r="CC70" s="28">
        <f>'FY21 Final Initial $$'!CC70/'FY21 FTE'!CC$120</f>
        <v>0</v>
      </c>
      <c r="CD70" s="20">
        <v>0</v>
      </c>
      <c r="CE70" s="28">
        <f>'FY21 Final Initial $$'!CE70/'FY21 FTE'!CE$120</f>
        <v>0</v>
      </c>
      <c r="CF70" s="28">
        <f>'FY21 Final Initial $$'!CF70/'FY21 FTE'!CF$120</f>
        <v>0</v>
      </c>
      <c r="CG70" s="28">
        <f>'FY21 Final Initial $$'!CG70/'FY21 FTE'!CG$120</f>
        <v>0</v>
      </c>
      <c r="CH70" s="28">
        <f>'FY21 Final Initial $$'!CH70/'FY21 FTE'!CH$120</f>
        <v>0</v>
      </c>
      <c r="CI70" s="28">
        <f>'FY21 Final Initial $$'!CI70/'FY21 FTE'!CI$120</f>
        <v>0</v>
      </c>
      <c r="CJ70" s="28">
        <f>'FY21 Final Initial $$'!CJ70/'FY21 FTE'!CJ$120</f>
        <v>0</v>
      </c>
      <c r="CK70" s="28">
        <f>'FY21 Final Initial $$'!CK70/'FY21 FTE'!CK$120</f>
        <v>0</v>
      </c>
      <c r="CL70" s="28">
        <f>'FY21 Final Initial $$'!CL70/'FY21 FTE'!CL$120</f>
        <v>0</v>
      </c>
      <c r="CM70" s="20">
        <v>0</v>
      </c>
      <c r="CN70" s="20">
        <v>0</v>
      </c>
      <c r="CO70" s="20">
        <v>111843.51999999999</v>
      </c>
      <c r="CP70" s="20">
        <v>0</v>
      </c>
      <c r="CQ70" s="28">
        <f>'FY21 Final Initial $$'!CQ70/'FY21 FTE'!CQ$120</f>
        <v>0</v>
      </c>
      <c r="CR70" s="20">
        <v>75000</v>
      </c>
      <c r="CS70" s="20">
        <v>9880</v>
      </c>
      <c r="CT70" s="20">
        <v>0</v>
      </c>
      <c r="CU70" s="20">
        <v>15998.09375</v>
      </c>
      <c r="CV70" s="28">
        <f>'FY21 Final Initial $$'!CV70/'FY21 FTE'!CV$120</f>
        <v>0</v>
      </c>
      <c r="CW70" s="28">
        <f>'FY21 Final Initial $$'!CW70/'FY21 FTE'!CW$120</f>
        <v>0</v>
      </c>
      <c r="CX70" s="20">
        <v>0</v>
      </c>
      <c r="CY70" s="28">
        <f>'FY21 Final Initial $$'!CY70/'FY21 FTE'!CY$120</f>
        <v>0</v>
      </c>
      <c r="CZ70" s="20">
        <v>0</v>
      </c>
      <c r="DA70" s="20">
        <v>0</v>
      </c>
      <c r="DB70" s="20">
        <v>26100</v>
      </c>
      <c r="DC70" s="20">
        <v>63592.271304543123</v>
      </c>
      <c r="DD70" s="20">
        <v>0</v>
      </c>
      <c r="DE70" s="20">
        <v>0</v>
      </c>
      <c r="DF70" s="20">
        <v>0</v>
      </c>
      <c r="DG70" s="20">
        <v>0</v>
      </c>
      <c r="DH70" s="28">
        <f>'FY21 Final Initial $$'!DH70/'FY21 FTE'!DH$120</f>
        <v>0</v>
      </c>
      <c r="DI70" s="20"/>
      <c r="DJ70" s="20">
        <v>31850.000309944153</v>
      </c>
      <c r="DK70" s="22">
        <v>0</v>
      </c>
      <c r="DL70" s="20">
        <v>224686.87747668638</v>
      </c>
      <c r="DM70" s="20">
        <v>150000</v>
      </c>
      <c r="DN70" s="20">
        <v>4976781.4793401202</v>
      </c>
      <c r="DO70" s="29">
        <f t="shared" si="6"/>
        <v>7</v>
      </c>
      <c r="DP70" s="29">
        <f t="shared" si="6"/>
        <v>7</v>
      </c>
      <c r="DQ70" s="29">
        <f t="shared" si="7"/>
        <v>9.0000000000000036</v>
      </c>
      <c r="DR70" s="29">
        <f t="shared" si="8"/>
        <v>8.045454545454545</v>
      </c>
      <c r="DS70" s="29">
        <f t="shared" si="9"/>
        <v>2</v>
      </c>
    </row>
    <row r="71" spans="1:123" x14ac:dyDescent="0.25">
      <c r="A71" s="18">
        <v>287</v>
      </c>
      <c r="B71" t="s">
        <v>211</v>
      </c>
      <c r="C71" t="s">
        <v>135</v>
      </c>
      <c r="D71">
        <v>3</v>
      </c>
      <c r="E71">
        <v>651</v>
      </c>
      <c r="F71" s="19">
        <f t="shared" si="5"/>
        <v>5.8371735791090631E-2</v>
      </c>
      <c r="G71">
        <v>38</v>
      </c>
      <c r="H71" s="28">
        <f>'FY21 Final Initial $$'!H71/'FY21 FTE'!H$120</f>
        <v>1</v>
      </c>
      <c r="I71" s="28">
        <f>'FY21 Final Initial $$'!I71/'FY21 FTE'!I$120</f>
        <v>1</v>
      </c>
      <c r="J71" s="28">
        <f>'FY21 Final Initial $$'!J71/'FY21 FTE'!J$120</f>
        <v>1.6</v>
      </c>
      <c r="K71" s="28">
        <f>'FY21 Final Initial $$'!K71/'FY21 FTE'!K$120</f>
        <v>0</v>
      </c>
      <c r="L71" s="28">
        <f>'FY21 Final Initial $$'!L71/'FY21 FTE'!L$120</f>
        <v>0</v>
      </c>
      <c r="M71" s="28">
        <f>'FY21 Final Initial $$'!M71/'FY21 FTE'!M$120</f>
        <v>1</v>
      </c>
      <c r="N71" s="28">
        <f>'FY21 Final Initial $$'!N71/'FY21 FTE'!N$120</f>
        <v>1</v>
      </c>
      <c r="O71" s="28">
        <f>'FY21 Final Initial $$'!O71/'FY21 FTE'!O$120</f>
        <v>1.6</v>
      </c>
      <c r="P71" s="28">
        <f>'FY21 Final Initial $$'!P71/'FY21 FTE'!P$120</f>
        <v>0</v>
      </c>
      <c r="Q71" s="28">
        <f>'FY21 Final Initial $$'!Q71/'FY21 FTE'!Q$120</f>
        <v>0</v>
      </c>
      <c r="R71" s="28">
        <f>'FY21 Final Initial $$'!R71/'FY21 FTE'!R$120</f>
        <v>0</v>
      </c>
      <c r="S71" s="28">
        <f>'FY21 Final Initial $$'!S71/'FY21 FTE'!S$120</f>
        <v>1</v>
      </c>
      <c r="T71" s="28">
        <f>'FY21 Final Initial $$'!T71/'FY21 FTE'!T$120</f>
        <v>1</v>
      </c>
      <c r="U71" s="28">
        <f>'FY21 Final Initial $$'!U71/'FY21 FTE'!U$120</f>
        <v>4</v>
      </c>
      <c r="V71" s="28">
        <f>'FY21 Final Initial $$'!V71/'FY21 FTE'!V$120</f>
        <v>1</v>
      </c>
      <c r="W71" s="28">
        <f>'FY21 Final Initial $$'!W71/'FY21 FTE'!W$120</f>
        <v>1</v>
      </c>
      <c r="X71" s="28">
        <f>'FY21 Final Initial $$'!X71/'FY21 FTE'!X$120</f>
        <v>1</v>
      </c>
      <c r="Y71" s="28">
        <f>'FY21 Final Initial $$'!Y71/'FY21 FTE'!Y$120</f>
        <v>1</v>
      </c>
      <c r="Z71" s="28">
        <f>'FY21 Final Initial $$'!Z71/'FY21 FTE'!Z$120</f>
        <v>2.5</v>
      </c>
      <c r="AA71" s="28">
        <f>'FY21 Final Initial $$'!AA71/'FY21 FTE'!AA$120</f>
        <v>0</v>
      </c>
      <c r="AB71" s="28">
        <f>'FY21 Final Initial $$'!AB71/'FY21 FTE'!AB$120</f>
        <v>0</v>
      </c>
      <c r="AC71" s="28">
        <f>'FY21 Final Initial $$'!AC71/'FY21 FTE'!AC$120</f>
        <v>0</v>
      </c>
      <c r="AD71" s="28">
        <f>'FY21 Final Initial $$'!AD71/'FY21 FTE'!AD$120</f>
        <v>0</v>
      </c>
      <c r="AE71" s="28">
        <f>'FY21 Final Initial $$'!AE71/'FY21 FTE'!AE$120</f>
        <v>0</v>
      </c>
      <c r="AF71" s="28">
        <f>'FY21 Final Initial $$'!AF71/'FY21 FTE'!AF$120</f>
        <v>3</v>
      </c>
      <c r="AG71" s="28">
        <f>'FY21 Final Initial $$'!AG71/'FY21 FTE'!AG$120</f>
        <v>3</v>
      </c>
      <c r="AH71" s="28">
        <f>'FY21 Final Initial $$'!AH71/'FY21 FTE'!AH$120</f>
        <v>4</v>
      </c>
      <c r="AI71" s="28">
        <f>'FY21 Final Initial $$'!AI71/'FY21 FTE'!AI$120</f>
        <v>4</v>
      </c>
      <c r="AJ71" s="28">
        <f>'FY21 Final Initial $$'!AJ71/'FY21 FTE'!AJ$120</f>
        <v>4</v>
      </c>
      <c r="AK71" s="28">
        <f>'FY21 Final Initial $$'!AK71/'FY21 FTE'!AK$120</f>
        <v>4</v>
      </c>
      <c r="AL71" s="28">
        <f>'FY21 Final Initial $$'!AL71/'FY21 FTE'!AL$120</f>
        <v>4</v>
      </c>
      <c r="AM71" s="28">
        <f>'FY21 Final Initial $$'!AM71/'FY21 FTE'!AM$120</f>
        <v>5</v>
      </c>
      <c r="AN71" s="28">
        <f>'FY21 Final Initial $$'!AN71/'FY21 FTE'!AN$120</f>
        <v>4.0000000000000053</v>
      </c>
      <c r="AO71" s="28">
        <f>'FY21 Final Initial $$'!AO71/'FY21 FTE'!AO$120</f>
        <v>0</v>
      </c>
      <c r="AP71" s="28">
        <f>'FY21 Final Initial $$'!AP71/'FY21 FTE'!AP$120</f>
        <v>0</v>
      </c>
      <c r="AQ71" s="28">
        <f>'FY21 Final Initial $$'!AQ71/'FY21 FTE'!AQ$120</f>
        <v>0</v>
      </c>
      <c r="AR71" s="28">
        <f>'FY21 Final Initial $$'!AR71/'FY21 FTE'!AR$120</f>
        <v>0</v>
      </c>
      <c r="AS71" s="28">
        <f>'FY21 Final Initial $$'!AS71/'FY21 FTE'!AS$120</f>
        <v>0</v>
      </c>
      <c r="AT71" s="28">
        <f>'FY21 Final Initial $$'!AT71/'FY21 FTE'!AT$120</f>
        <v>0</v>
      </c>
      <c r="AU71" s="28">
        <f>'FY21 Final Initial $$'!AU71/'FY21 FTE'!AU$120</f>
        <v>0</v>
      </c>
      <c r="AV71" s="28">
        <f>'FY21 Final Initial $$'!AV71/'FY21 FTE'!AV$120</f>
        <v>0</v>
      </c>
      <c r="AW71" s="28">
        <f>'FY21 Final Initial $$'!AW71/'FY21 FTE'!AW$120</f>
        <v>0</v>
      </c>
      <c r="AX71" s="28">
        <f>'FY21 Final Initial $$'!AX71/'FY21 FTE'!AX$120</f>
        <v>0</v>
      </c>
      <c r="AY71" s="28">
        <f>'FY21 Final Initial $$'!AY71/'FY21 FTE'!AY$120</f>
        <v>0.5</v>
      </c>
      <c r="AZ71" s="28">
        <f>'FY21 Final Initial $$'!AZ71/'FY21 FTE'!AZ$120</f>
        <v>2</v>
      </c>
      <c r="BA71" s="28">
        <f>'FY21 Final Initial $$'!BA71/'FY21 FTE'!BA$120</f>
        <v>8</v>
      </c>
      <c r="BB71" s="28">
        <f>'FY21 Final Initial $$'!BB71/'FY21 FTE'!BB$120</f>
        <v>4</v>
      </c>
      <c r="BC71" s="28">
        <f>'FY21 Final Initial $$'!BC71/'FY21 FTE'!BC$120</f>
        <v>0</v>
      </c>
      <c r="BD71" s="28">
        <f>'FY21 Final Initial $$'!BD71/'FY21 FTE'!BD$120</f>
        <v>0</v>
      </c>
      <c r="BE71" s="28">
        <f>'FY21 Final Initial $$'!BE71/'FY21 FTE'!BE$120</f>
        <v>4</v>
      </c>
      <c r="BF71" s="28">
        <f>'FY21 Final Initial $$'!BF71/'FY21 FTE'!BF$120</f>
        <v>0</v>
      </c>
      <c r="BG71" s="28">
        <f>'FY21 Final Initial $$'!BG71/'FY21 FTE'!BG$120</f>
        <v>0</v>
      </c>
      <c r="BH71" s="28">
        <f>'FY21 Final Initial $$'!BH71/'FY21 FTE'!BH$120</f>
        <v>0</v>
      </c>
      <c r="BI71" s="28">
        <f>'FY21 Final Initial $$'!BI71/'FY21 FTE'!BI$120</f>
        <v>0</v>
      </c>
      <c r="BJ71" s="28">
        <f>'FY21 Final Initial $$'!BJ71/'FY21 FTE'!BJ$120</f>
        <v>0</v>
      </c>
      <c r="BK71" s="20">
        <v>0</v>
      </c>
      <c r="BL71" s="20"/>
      <c r="BM71" s="20"/>
      <c r="BN71" s="20">
        <v>0</v>
      </c>
      <c r="BO71" s="20">
        <v>0</v>
      </c>
      <c r="BP71" s="20">
        <v>15575</v>
      </c>
      <c r="BQ71" s="28">
        <f>'FY21 Final Initial $$'!BQ71/'FY21 FTE'!BQ$120</f>
        <v>0</v>
      </c>
      <c r="BR71" s="28">
        <f>'FY21 Final Initial $$'!BR71/'FY21 FTE'!BR$120</f>
        <v>0</v>
      </c>
      <c r="BS71" s="28">
        <f>'FY21 Final Initial $$'!BS71/'FY21 FTE'!BS$120</f>
        <v>0</v>
      </c>
      <c r="BT71" s="28">
        <f>'FY21 Final Initial $$'!BT71/'FY21 FTE'!BT$120</f>
        <v>0</v>
      </c>
      <c r="BU71" s="28">
        <f>'FY21 Final Initial $$'!BU71/'FY21 FTE'!BU$120</f>
        <v>0</v>
      </c>
      <c r="BV71" s="28">
        <f>'FY21 Final Initial $$'!BV71/'FY21 FTE'!BV$120</f>
        <v>0</v>
      </c>
      <c r="BW71" s="28">
        <f>'FY21 Final Initial $$'!BW71/'FY21 FTE'!BW$120</f>
        <v>0</v>
      </c>
      <c r="BX71" s="20">
        <v>0</v>
      </c>
      <c r="BY71" s="20">
        <v>0</v>
      </c>
      <c r="BZ71" s="20">
        <v>0</v>
      </c>
      <c r="CA71" s="20">
        <v>0</v>
      </c>
      <c r="CB71" s="28">
        <f>'FY21 Final Initial $$'!CB71/'FY21 FTE'!CB$120</f>
        <v>0</v>
      </c>
      <c r="CC71" s="28">
        <f>'FY21 Final Initial $$'!CC71/'FY21 FTE'!CC$120</f>
        <v>0</v>
      </c>
      <c r="CD71" s="20">
        <v>0</v>
      </c>
      <c r="CE71" s="28">
        <f>'FY21 Final Initial $$'!CE71/'FY21 FTE'!CE$120</f>
        <v>0</v>
      </c>
      <c r="CF71" s="28">
        <f>'FY21 Final Initial $$'!CF71/'FY21 FTE'!CF$120</f>
        <v>0</v>
      </c>
      <c r="CG71" s="28">
        <f>'FY21 Final Initial $$'!CG71/'FY21 FTE'!CG$120</f>
        <v>0</v>
      </c>
      <c r="CH71" s="28">
        <f>'FY21 Final Initial $$'!CH71/'FY21 FTE'!CH$120</f>
        <v>0</v>
      </c>
      <c r="CI71" s="28">
        <f>'FY21 Final Initial $$'!CI71/'FY21 FTE'!CI$120</f>
        <v>0</v>
      </c>
      <c r="CJ71" s="28">
        <f>'FY21 Final Initial $$'!CJ71/'FY21 FTE'!CJ$120</f>
        <v>0</v>
      </c>
      <c r="CK71" s="28">
        <f>'FY21 Final Initial $$'!CK71/'FY21 FTE'!CK$120</f>
        <v>0</v>
      </c>
      <c r="CL71" s="28">
        <f>'FY21 Final Initial $$'!CL71/'FY21 FTE'!CL$120</f>
        <v>0</v>
      </c>
      <c r="CM71" s="20">
        <v>0</v>
      </c>
      <c r="CN71" s="20">
        <v>0</v>
      </c>
      <c r="CO71" s="20">
        <v>111843.51999999999</v>
      </c>
      <c r="CP71" s="20">
        <v>0</v>
      </c>
      <c r="CQ71" s="28">
        <f>'FY21 Final Initial $$'!CQ71/'FY21 FTE'!CQ$120</f>
        <v>0</v>
      </c>
      <c r="CR71" s="20">
        <v>0</v>
      </c>
      <c r="CS71" s="20">
        <v>0</v>
      </c>
      <c r="CT71" s="20">
        <v>0</v>
      </c>
      <c r="CU71" s="20">
        <v>34377.294520547948</v>
      </c>
      <c r="CV71" s="28">
        <f>'FY21 Final Initial $$'!CV71/'FY21 FTE'!CV$120</f>
        <v>0</v>
      </c>
      <c r="CW71" s="28">
        <f>'FY21 Final Initial $$'!CW71/'FY21 FTE'!CW$120</f>
        <v>0</v>
      </c>
      <c r="CX71" s="20">
        <v>0</v>
      </c>
      <c r="CY71" s="28">
        <f>'FY21 Final Initial $$'!CY71/'FY21 FTE'!CY$120</f>
        <v>0</v>
      </c>
      <c r="CZ71" s="20">
        <v>0</v>
      </c>
      <c r="DA71" s="20">
        <v>0</v>
      </c>
      <c r="DB71" s="20">
        <v>65100</v>
      </c>
      <c r="DC71" s="20">
        <v>111187.72103301248</v>
      </c>
      <c r="DD71" s="20">
        <v>0</v>
      </c>
      <c r="DE71" s="20">
        <v>0</v>
      </c>
      <c r="DF71" s="20">
        <v>0</v>
      </c>
      <c r="DG71" s="20">
        <v>0</v>
      </c>
      <c r="DH71" s="28">
        <f>'FY21 Final Initial $$'!DH71/'FY21 FTE'!DH$120</f>
        <v>0</v>
      </c>
      <c r="DI71" s="20"/>
      <c r="DJ71" s="20">
        <v>5600.0001890584826</v>
      </c>
      <c r="DK71" s="22">
        <v>0</v>
      </c>
      <c r="DL71" s="20">
        <v>0</v>
      </c>
      <c r="DM71" s="20">
        <v>0</v>
      </c>
      <c r="DN71" s="20">
        <v>7249753.1651222762</v>
      </c>
      <c r="DO71" s="29">
        <f t="shared" si="6"/>
        <v>7</v>
      </c>
      <c r="DP71" s="29">
        <f t="shared" si="6"/>
        <v>7</v>
      </c>
      <c r="DQ71" s="29">
        <f t="shared" si="7"/>
        <v>21.000000000000007</v>
      </c>
      <c r="DR71" s="29">
        <f t="shared" si="8"/>
        <v>14.5</v>
      </c>
      <c r="DS71" s="29">
        <f t="shared" si="9"/>
        <v>4</v>
      </c>
    </row>
    <row r="72" spans="1:123" x14ac:dyDescent="0.25">
      <c r="A72" s="18">
        <v>288</v>
      </c>
      <c r="B72" t="s">
        <v>212</v>
      </c>
      <c r="C72" t="s">
        <v>135</v>
      </c>
      <c r="D72">
        <v>7</v>
      </c>
      <c r="E72">
        <v>344</v>
      </c>
      <c r="F72" s="19">
        <f t="shared" si="5"/>
        <v>0.75290697674418605</v>
      </c>
      <c r="G72">
        <v>259</v>
      </c>
      <c r="H72" s="28">
        <f>'FY21 Final Initial $$'!H72/'FY21 FTE'!H$120</f>
        <v>1</v>
      </c>
      <c r="I72" s="28">
        <f>'FY21 Final Initial $$'!I72/'FY21 FTE'!I$120</f>
        <v>1</v>
      </c>
      <c r="J72" s="28">
        <f>'FY21 Final Initial $$'!J72/'FY21 FTE'!J$120</f>
        <v>0.89999999999999991</v>
      </c>
      <c r="K72" s="28">
        <f>'FY21 Final Initial $$'!K72/'FY21 FTE'!K$120</f>
        <v>0</v>
      </c>
      <c r="L72" s="28">
        <f>'FY21 Final Initial $$'!L72/'FY21 FTE'!L$120</f>
        <v>0</v>
      </c>
      <c r="M72" s="28">
        <f>'FY21 Final Initial $$'!M72/'FY21 FTE'!M$120</f>
        <v>1</v>
      </c>
      <c r="N72" s="28">
        <f>'FY21 Final Initial $$'!N72/'FY21 FTE'!N$120</f>
        <v>1</v>
      </c>
      <c r="O72" s="28">
        <f>'FY21 Final Initial $$'!O72/'FY21 FTE'!O$120</f>
        <v>0</v>
      </c>
      <c r="P72" s="28">
        <f>'FY21 Final Initial $$'!P72/'FY21 FTE'!P$120</f>
        <v>0</v>
      </c>
      <c r="Q72" s="28">
        <f>'FY21 Final Initial $$'!Q72/'FY21 FTE'!Q$120</f>
        <v>0</v>
      </c>
      <c r="R72" s="28">
        <f>'FY21 Final Initial $$'!R72/'FY21 FTE'!R$120</f>
        <v>0</v>
      </c>
      <c r="S72" s="28">
        <f>'FY21 Final Initial $$'!S72/'FY21 FTE'!S$120</f>
        <v>1</v>
      </c>
      <c r="T72" s="28">
        <f>'FY21 Final Initial $$'!T72/'FY21 FTE'!T$120</f>
        <v>1</v>
      </c>
      <c r="U72" s="28">
        <f>'FY21 Final Initial $$'!U72/'FY21 FTE'!U$120</f>
        <v>2</v>
      </c>
      <c r="V72" s="28">
        <f>'FY21 Final Initial $$'!V72/'FY21 FTE'!V$120</f>
        <v>1</v>
      </c>
      <c r="W72" s="28">
        <f>'FY21 Final Initial $$'!W72/'FY21 FTE'!W$120</f>
        <v>1</v>
      </c>
      <c r="X72" s="28">
        <f>'FY21 Final Initial $$'!X72/'FY21 FTE'!X$120</f>
        <v>1</v>
      </c>
      <c r="Y72" s="28">
        <f>'FY21 Final Initial $$'!Y72/'FY21 FTE'!Y$120</f>
        <v>1</v>
      </c>
      <c r="Z72" s="28">
        <f>'FY21 Final Initial $$'!Z72/'FY21 FTE'!Z$120</f>
        <v>-1.3122687780540747E-15</v>
      </c>
      <c r="AA72" s="28">
        <f>'FY21 Final Initial $$'!AA72/'FY21 FTE'!AA$120</f>
        <v>1</v>
      </c>
      <c r="AB72" s="28">
        <f>'FY21 Final Initial $$'!AB72/'FY21 FTE'!AB$120</f>
        <v>0</v>
      </c>
      <c r="AC72" s="28">
        <f>'FY21 Final Initial $$'!AC72/'FY21 FTE'!AC$120</f>
        <v>0</v>
      </c>
      <c r="AD72" s="28">
        <f>'FY21 Final Initial $$'!AD72/'FY21 FTE'!AD$120</f>
        <v>6</v>
      </c>
      <c r="AE72" s="28">
        <f>'FY21 Final Initial $$'!AE72/'FY21 FTE'!AE$120</f>
        <v>6</v>
      </c>
      <c r="AF72" s="28">
        <f>'FY21 Final Initial $$'!AF72/'FY21 FTE'!AF$120</f>
        <v>0</v>
      </c>
      <c r="AG72" s="28">
        <f>'FY21 Final Initial $$'!AG72/'FY21 FTE'!AG$120</f>
        <v>0</v>
      </c>
      <c r="AH72" s="28">
        <f>'FY21 Final Initial $$'!AH72/'FY21 FTE'!AH$120</f>
        <v>2</v>
      </c>
      <c r="AI72" s="28">
        <f>'FY21 Final Initial $$'!AI72/'FY21 FTE'!AI$120</f>
        <v>2</v>
      </c>
      <c r="AJ72" s="28">
        <f>'FY21 Final Initial $$'!AJ72/'FY21 FTE'!AJ$120</f>
        <v>2</v>
      </c>
      <c r="AK72" s="28">
        <f>'FY21 Final Initial $$'!AK72/'FY21 FTE'!AK$120</f>
        <v>2</v>
      </c>
      <c r="AL72" s="28">
        <f>'FY21 Final Initial $$'!AL72/'FY21 FTE'!AL$120</f>
        <v>2</v>
      </c>
      <c r="AM72" s="28">
        <f>'FY21 Final Initial $$'!AM72/'FY21 FTE'!AM$120</f>
        <v>2</v>
      </c>
      <c r="AN72" s="28">
        <f>'FY21 Final Initial $$'!AN72/'FY21 FTE'!AN$120</f>
        <v>2.0000000000000027</v>
      </c>
      <c r="AO72" s="28">
        <f>'FY21 Final Initial $$'!AO72/'FY21 FTE'!AO$120</f>
        <v>0</v>
      </c>
      <c r="AP72" s="28">
        <f>'FY21 Final Initial $$'!AP72/'FY21 FTE'!AP$120</f>
        <v>0</v>
      </c>
      <c r="AQ72" s="28">
        <f>'FY21 Final Initial $$'!AQ72/'FY21 FTE'!AQ$120</f>
        <v>0</v>
      </c>
      <c r="AR72" s="28">
        <f>'FY21 Final Initial $$'!AR72/'FY21 FTE'!AR$120</f>
        <v>0</v>
      </c>
      <c r="AS72" s="28">
        <f>'FY21 Final Initial $$'!AS72/'FY21 FTE'!AS$120</f>
        <v>0</v>
      </c>
      <c r="AT72" s="28">
        <f>'FY21 Final Initial $$'!AT72/'FY21 FTE'!AT$120</f>
        <v>0</v>
      </c>
      <c r="AU72" s="28">
        <f>'FY21 Final Initial $$'!AU72/'FY21 FTE'!AU$120</f>
        <v>0</v>
      </c>
      <c r="AV72" s="28">
        <f>'FY21 Final Initial $$'!AV72/'FY21 FTE'!AV$120</f>
        <v>0</v>
      </c>
      <c r="AW72" s="28">
        <f>'FY21 Final Initial $$'!AW72/'FY21 FTE'!AW$120</f>
        <v>0</v>
      </c>
      <c r="AX72" s="28">
        <f>'FY21 Final Initial $$'!AX72/'FY21 FTE'!AX$120</f>
        <v>0</v>
      </c>
      <c r="AY72" s="28">
        <f>'FY21 Final Initial $$'!AY72/'FY21 FTE'!AY$120</f>
        <v>1</v>
      </c>
      <c r="AZ72" s="28">
        <f>'FY21 Final Initial $$'!AZ72/'FY21 FTE'!AZ$120</f>
        <v>1</v>
      </c>
      <c r="BA72" s="28">
        <f>'FY21 Final Initial $$'!BA72/'FY21 FTE'!BA$120</f>
        <v>5</v>
      </c>
      <c r="BB72" s="28">
        <f>'FY21 Final Initial $$'!BB72/'FY21 FTE'!BB$120</f>
        <v>1</v>
      </c>
      <c r="BC72" s="28">
        <f>'FY21 Final Initial $$'!BC72/'FY21 FTE'!BC$120</f>
        <v>0</v>
      </c>
      <c r="BD72" s="28">
        <f>'FY21 Final Initial $$'!BD72/'FY21 FTE'!BD$120</f>
        <v>0</v>
      </c>
      <c r="BE72" s="28">
        <f>'FY21 Final Initial $$'!BE72/'FY21 FTE'!BE$120</f>
        <v>1.5</v>
      </c>
      <c r="BF72" s="28">
        <f>'FY21 Final Initial $$'!BF72/'FY21 FTE'!BF$120</f>
        <v>0</v>
      </c>
      <c r="BG72" s="28">
        <f>'FY21 Final Initial $$'!BG72/'FY21 FTE'!BG$120</f>
        <v>0</v>
      </c>
      <c r="BH72" s="28">
        <f>'FY21 Final Initial $$'!BH72/'FY21 FTE'!BH$120</f>
        <v>0</v>
      </c>
      <c r="BI72" s="28">
        <f>'FY21 Final Initial $$'!BI72/'FY21 FTE'!BI$120</f>
        <v>0</v>
      </c>
      <c r="BJ72" s="28">
        <f>'FY21 Final Initial $$'!BJ72/'FY21 FTE'!BJ$120</f>
        <v>0</v>
      </c>
      <c r="BK72" s="20">
        <v>0</v>
      </c>
      <c r="BL72" s="20"/>
      <c r="BM72" s="20"/>
      <c r="BN72" s="20">
        <v>148735.01999999999</v>
      </c>
      <c r="BO72" s="20">
        <v>2460.65</v>
      </c>
      <c r="BP72" s="20">
        <v>0</v>
      </c>
      <c r="BQ72" s="28">
        <f>'FY21 Final Initial $$'!BQ72/'FY21 FTE'!BQ$120</f>
        <v>0</v>
      </c>
      <c r="BR72" s="28">
        <f>'FY21 Final Initial $$'!BR72/'FY21 FTE'!BR$120</f>
        <v>0</v>
      </c>
      <c r="BS72" s="28">
        <f>'FY21 Final Initial $$'!BS72/'FY21 FTE'!BS$120</f>
        <v>0</v>
      </c>
      <c r="BT72" s="28">
        <f>'FY21 Final Initial $$'!BT72/'FY21 FTE'!BT$120</f>
        <v>0</v>
      </c>
      <c r="BU72" s="28">
        <f>'FY21 Final Initial $$'!BU72/'FY21 FTE'!BU$120</f>
        <v>0</v>
      </c>
      <c r="BV72" s="28">
        <f>'FY21 Final Initial $$'!BV72/'FY21 FTE'!BV$120</f>
        <v>0</v>
      </c>
      <c r="BW72" s="28">
        <f>'FY21 Final Initial $$'!BW72/'FY21 FTE'!BW$120</f>
        <v>0</v>
      </c>
      <c r="BX72" s="20">
        <v>0</v>
      </c>
      <c r="BY72" s="20">
        <v>0</v>
      </c>
      <c r="BZ72" s="20">
        <v>0</v>
      </c>
      <c r="CA72" s="20">
        <v>0</v>
      </c>
      <c r="CB72" s="28">
        <f>'FY21 Final Initial $$'!CB72/'FY21 FTE'!CB$120</f>
        <v>0</v>
      </c>
      <c r="CC72" s="28">
        <f>'FY21 Final Initial $$'!CC72/'FY21 FTE'!CC$120</f>
        <v>0</v>
      </c>
      <c r="CD72" s="20">
        <v>0</v>
      </c>
      <c r="CE72" s="28">
        <f>'FY21 Final Initial $$'!CE72/'FY21 FTE'!CE$120</f>
        <v>0</v>
      </c>
      <c r="CF72" s="28">
        <f>'FY21 Final Initial $$'!CF72/'FY21 FTE'!CF$120</f>
        <v>0</v>
      </c>
      <c r="CG72" s="28">
        <f>'FY21 Final Initial $$'!CG72/'FY21 FTE'!CG$120</f>
        <v>0</v>
      </c>
      <c r="CH72" s="28">
        <f>'FY21 Final Initial $$'!CH72/'FY21 FTE'!CH$120</f>
        <v>0</v>
      </c>
      <c r="CI72" s="28">
        <f>'FY21 Final Initial $$'!CI72/'FY21 FTE'!CI$120</f>
        <v>0</v>
      </c>
      <c r="CJ72" s="28">
        <f>'FY21 Final Initial $$'!CJ72/'FY21 FTE'!CJ$120</f>
        <v>0</v>
      </c>
      <c r="CK72" s="28">
        <f>'FY21 Final Initial $$'!CK72/'FY21 FTE'!CK$120</f>
        <v>0</v>
      </c>
      <c r="CL72" s="28">
        <f>'FY21 Final Initial $$'!CL72/'FY21 FTE'!CL$120</f>
        <v>0</v>
      </c>
      <c r="CM72" s="20">
        <v>0</v>
      </c>
      <c r="CN72" s="20">
        <v>0</v>
      </c>
      <c r="CO72" s="20">
        <v>55921.759999999995</v>
      </c>
      <c r="CP72" s="20">
        <v>0</v>
      </c>
      <c r="CQ72" s="28">
        <f>'FY21 Final Initial $$'!CQ72/'FY21 FTE'!CQ$120</f>
        <v>0</v>
      </c>
      <c r="CR72" s="20">
        <v>0</v>
      </c>
      <c r="CS72" s="20">
        <v>10360</v>
      </c>
      <c r="CT72" s="20">
        <v>181240</v>
      </c>
      <c r="CU72" s="20">
        <v>20339.7</v>
      </c>
      <c r="CV72" s="28">
        <f>'FY21 Final Initial $$'!CV72/'FY21 FTE'!CV$120</f>
        <v>0</v>
      </c>
      <c r="CW72" s="28">
        <f>'FY21 Final Initial $$'!CW72/'FY21 FTE'!CW$120</f>
        <v>0</v>
      </c>
      <c r="CX72" s="20">
        <v>0</v>
      </c>
      <c r="CY72" s="28">
        <f>'FY21 Final Initial $$'!CY72/'FY21 FTE'!CY$120</f>
        <v>0</v>
      </c>
      <c r="CZ72" s="20">
        <v>0</v>
      </c>
      <c r="DA72" s="20">
        <v>0</v>
      </c>
      <c r="DB72" s="20">
        <v>34400</v>
      </c>
      <c r="DC72" s="20">
        <v>77307.164041225886</v>
      </c>
      <c r="DD72" s="20">
        <v>0</v>
      </c>
      <c r="DE72" s="20">
        <v>0</v>
      </c>
      <c r="DF72" s="20">
        <v>0</v>
      </c>
      <c r="DG72" s="20">
        <v>0</v>
      </c>
      <c r="DH72" s="28">
        <f>'FY21 Final Initial $$'!DH72/'FY21 FTE'!DH$120</f>
        <v>0</v>
      </c>
      <c r="DI72" s="20"/>
      <c r="DJ72" s="20">
        <v>29250.000232458115</v>
      </c>
      <c r="DK72" s="22">
        <v>0</v>
      </c>
      <c r="DL72" s="20">
        <v>0</v>
      </c>
      <c r="DM72" s="20">
        <v>0</v>
      </c>
      <c r="DN72" s="20">
        <v>5180461.5018032417</v>
      </c>
      <c r="DO72" s="29">
        <f t="shared" si="6"/>
        <v>8</v>
      </c>
      <c r="DP72" s="29">
        <f t="shared" si="6"/>
        <v>8</v>
      </c>
      <c r="DQ72" s="29">
        <f t="shared" si="7"/>
        <v>10.000000000000004</v>
      </c>
      <c r="DR72" s="29">
        <f t="shared" si="8"/>
        <v>8.5</v>
      </c>
      <c r="DS72" s="29">
        <f t="shared" si="9"/>
        <v>1</v>
      </c>
    </row>
    <row r="73" spans="1:123" x14ac:dyDescent="0.25">
      <c r="A73" s="18">
        <v>1071</v>
      </c>
      <c r="B73" t="s">
        <v>213</v>
      </c>
      <c r="C73" t="s">
        <v>152</v>
      </c>
      <c r="D73">
        <v>4</v>
      </c>
      <c r="E73">
        <v>370</v>
      </c>
      <c r="F73" s="19">
        <f t="shared" si="5"/>
        <v>0.5243243243243243</v>
      </c>
      <c r="G73">
        <v>194</v>
      </c>
      <c r="H73" s="28">
        <f>'FY21 Final Initial $$'!H73/'FY21 FTE'!H$120</f>
        <v>1</v>
      </c>
      <c r="I73" s="28">
        <f>'FY21 Final Initial $$'!I73/'FY21 FTE'!I$120</f>
        <v>1</v>
      </c>
      <c r="J73" s="28">
        <f>'FY21 Final Initial $$'!J73/'FY21 FTE'!J$120</f>
        <v>1.2</v>
      </c>
      <c r="K73" s="28">
        <f>'FY21 Final Initial $$'!K73/'FY21 FTE'!K$120</f>
        <v>1</v>
      </c>
      <c r="L73" s="28">
        <f>'FY21 Final Initial $$'!L73/'FY21 FTE'!L$120</f>
        <v>0</v>
      </c>
      <c r="M73" s="28">
        <f>'FY21 Final Initial $$'!M73/'FY21 FTE'!M$120</f>
        <v>1</v>
      </c>
      <c r="N73" s="28">
        <f>'FY21 Final Initial $$'!N73/'FY21 FTE'!N$120</f>
        <v>1</v>
      </c>
      <c r="O73" s="28">
        <f>'FY21 Final Initial $$'!O73/'FY21 FTE'!O$120</f>
        <v>0</v>
      </c>
      <c r="P73" s="28">
        <f>'FY21 Final Initial $$'!P73/'FY21 FTE'!P$120</f>
        <v>0</v>
      </c>
      <c r="Q73" s="28">
        <f>'FY21 Final Initial $$'!Q73/'FY21 FTE'!Q$120</f>
        <v>0</v>
      </c>
      <c r="R73" s="28">
        <f>'FY21 Final Initial $$'!R73/'FY21 FTE'!R$120</f>
        <v>0</v>
      </c>
      <c r="S73" s="28">
        <f>'FY21 Final Initial $$'!S73/'FY21 FTE'!S$120</f>
        <v>1</v>
      </c>
      <c r="T73" s="28">
        <f>'FY21 Final Initial $$'!T73/'FY21 FTE'!T$120</f>
        <v>1</v>
      </c>
      <c r="U73" s="28">
        <f>'FY21 Final Initial $$'!U73/'FY21 FTE'!U$120</f>
        <v>2</v>
      </c>
      <c r="V73" s="28">
        <f>'FY21 Final Initial $$'!V73/'FY21 FTE'!V$120</f>
        <v>1</v>
      </c>
      <c r="W73" s="28">
        <f>'FY21 Final Initial $$'!W73/'FY21 FTE'!W$120</f>
        <v>0</v>
      </c>
      <c r="X73" s="28">
        <f>'FY21 Final Initial $$'!X73/'FY21 FTE'!X$120</f>
        <v>0</v>
      </c>
      <c r="Y73" s="28">
        <f>'FY21 Final Initial $$'!Y73/'FY21 FTE'!Y$120</f>
        <v>0</v>
      </c>
      <c r="Z73" s="28">
        <f>'FY21 Final Initial $$'!Z73/'FY21 FTE'!Z$120</f>
        <v>0</v>
      </c>
      <c r="AA73" s="28">
        <f>'FY21 Final Initial $$'!AA73/'FY21 FTE'!AA$120</f>
        <v>0</v>
      </c>
      <c r="AB73" s="28">
        <f>'FY21 Final Initial $$'!AB73/'FY21 FTE'!AB$120</f>
        <v>0</v>
      </c>
      <c r="AC73" s="28">
        <f>'FY21 Final Initial $$'!AC73/'FY21 FTE'!AC$120</f>
        <v>0</v>
      </c>
      <c r="AD73" s="28">
        <f>'FY21 Final Initial $$'!AD73/'FY21 FTE'!AD$120</f>
        <v>0</v>
      </c>
      <c r="AE73" s="28">
        <f>'FY21 Final Initial $$'!AE73/'FY21 FTE'!AE$120</f>
        <v>0</v>
      </c>
      <c r="AF73" s="28">
        <f>'FY21 Final Initial $$'!AF73/'FY21 FTE'!AF$120</f>
        <v>0</v>
      </c>
      <c r="AG73" s="28">
        <f>'FY21 Final Initial $$'!AG73/'FY21 FTE'!AG$120</f>
        <v>0</v>
      </c>
      <c r="AH73" s="28">
        <f>'FY21 Final Initial $$'!AH73/'FY21 FTE'!AH$120</f>
        <v>0</v>
      </c>
      <c r="AI73" s="28">
        <f>'FY21 Final Initial $$'!AI73/'FY21 FTE'!AI$120</f>
        <v>0</v>
      </c>
      <c r="AJ73" s="28">
        <f>'FY21 Final Initial $$'!AJ73/'FY21 FTE'!AJ$120</f>
        <v>0</v>
      </c>
      <c r="AK73" s="28">
        <f>'FY21 Final Initial $$'!AK73/'FY21 FTE'!AK$120</f>
        <v>0</v>
      </c>
      <c r="AL73" s="28">
        <f>'FY21 Final Initial $$'!AL73/'FY21 FTE'!AL$120</f>
        <v>0</v>
      </c>
      <c r="AM73" s="28">
        <f>'FY21 Final Initial $$'!AM73/'FY21 FTE'!AM$120</f>
        <v>0</v>
      </c>
      <c r="AN73" s="28">
        <f>'FY21 Final Initial $$'!AN73/'FY21 FTE'!AN$120</f>
        <v>0</v>
      </c>
      <c r="AO73" s="28">
        <f>'FY21 Final Initial $$'!AO73/'FY21 FTE'!AO$120</f>
        <v>8.4</v>
      </c>
      <c r="AP73" s="28">
        <f>'FY21 Final Initial $$'!AP73/'FY21 FTE'!AP$120</f>
        <v>8.5</v>
      </c>
      <c r="AQ73" s="28">
        <f>'FY21 Final Initial $$'!AQ73/'FY21 FTE'!AQ$120</f>
        <v>0</v>
      </c>
      <c r="AR73" s="28">
        <f>'FY21 Final Initial $$'!AR73/'FY21 FTE'!AR$120</f>
        <v>0</v>
      </c>
      <c r="AS73" s="28">
        <f>'FY21 Final Initial $$'!AS73/'FY21 FTE'!AS$120</f>
        <v>0</v>
      </c>
      <c r="AT73" s="28">
        <f>'FY21 Final Initial $$'!AT73/'FY21 FTE'!AT$120</f>
        <v>0</v>
      </c>
      <c r="AU73" s="28">
        <f>'FY21 Final Initial $$'!AU73/'FY21 FTE'!AU$120</f>
        <v>0</v>
      </c>
      <c r="AV73" s="28">
        <f>'FY21 Final Initial $$'!AV73/'FY21 FTE'!AV$120</f>
        <v>0</v>
      </c>
      <c r="AW73" s="28">
        <f>'FY21 Final Initial $$'!AW73/'FY21 FTE'!AW$120</f>
        <v>0</v>
      </c>
      <c r="AX73" s="28">
        <f>'FY21 Final Initial $$'!AX73/'FY21 FTE'!AX$120</f>
        <v>0</v>
      </c>
      <c r="AY73" s="28">
        <f>'FY21 Final Initial $$'!AY73/'FY21 FTE'!AY$120</f>
        <v>1</v>
      </c>
      <c r="AZ73" s="28">
        <f>'FY21 Final Initial $$'!AZ73/'FY21 FTE'!AZ$120</f>
        <v>1</v>
      </c>
      <c r="BA73" s="28">
        <f>'FY21 Final Initial $$'!BA73/'FY21 FTE'!BA$120</f>
        <v>9</v>
      </c>
      <c r="BB73" s="28">
        <f>'FY21 Final Initial $$'!BB73/'FY21 FTE'!BB$120</f>
        <v>4</v>
      </c>
      <c r="BC73" s="28">
        <f>'FY21 Final Initial $$'!BC73/'FY21 FTE'!BC$120</f>
        <v>1</v>
      </c>
      <c r="BD73" s="28">
        <f>'FY21 Final Initial $$'!BD73/'FY21 FTE'!BD$120</f>
        <v>0</v>
      </c>
      <c r="BE73" s="28">
        <f>'FY21 Final Initial $$'!BE73/'FY21 FTE'!BE$120</f>
        <v>7</v>
      </c>
      <c r="BF73" s="28">
        <f>'FY21 Final Initial $$'!BF73/'FY21 FTE'!BF$120</f>
        <v>1</v>
      </c>
      <c r="BG73" s="28">
        <f>'FY21 Final Initial $$'!BG73/'FY21 FTE'!BG$120</f>
        <v>1</v>
      </c>
      <c r="BH73" s="28">
        <f>'FY21 Final Initial $$'!BH73/'FY21 FTE'!BH$120</f>
        <v>0</v>
      </c>
      <c r="BI73" s="28">
        <f>'FY21 Final Initial $$'!BI73/'FY21 FTE'!BI$120</f>
        <v>0</v>
      </c>
      <c r="BJ73" s="28">
        <f>'FY21 Final Initial $$'!BJ73/'FY21 FTE'!BJ$120</f>
        <v>0</v>
      </c>
      <c r="BK73" s="20">
        <v>0</v>
      </c>
      <c r="BL73" s="20"/>
      <c r="BM73" s="20"/>
      <c r="BN73" s="20">
        <v>58254.12</v>
      </c>
      <c r="BO73" s="20">
        <v>942.08</v>
      </c>
      <c r="BP73" s="20">
        <v>0</v>
      </c>
      <c r="BQ73" s="28">
        <f>'FY21 Final Initial $$'!BQ73/'FY21 FTE'!BQ$120</f>
        <v>0</v>
      </c>
      <c r="BR73" s="28">
        <f>'FY21 Final Initial $$'!BR73/'FY21 FTE'!BR$120</f>
        <v>1</v>
      </c>
      <c r="BS73" s="28">
        <f>'FY21 Final Initial $$'!BS73/'FY21 FTE'!BS$120</f>
        <v>0</v>
      </c>
      <c r="BT73" s="28">
        <f>'FY21 Final Initial $$'!BT73/'FY21 FTE'!BT$120</f>
        <v>0</v>
      </c>
      <c r="BU73" s="28">
        <f>'FY21 Final Initial $$'!BU73/'FY21 FTE'!BU$120</f>
        <v>0</v>
      </c>
      <c r="BV73" s="28">
        <f>'FY21 Final Initial $$'!BV73/'FY21 FTE'!BV$120</f>
        <v>0</v>
      </c>
      <c r="BW73" s="28">
        <f>'FY21 Final Initial $$'!BW73/'FY21 FTE'!BW$120</f>
        <v>0</v>
      </c>
      <c r="BX73" s="20">
        <v>0</v>
      </c>
      <c r="BY73" s="20">
        <v>0</v>
      </c>
      <c r="BZ73" s="20">
        <v>0</v>
      </c>
      <c r="CA73" s="20">
        <v>0</v>
      </c>
      <c r="CB73" s="28">
        <f>'FY21 Final Initial $$'!CB73/'FY21 FTE'!CB$120</f>
        <v>0</v>
      </c>
      <c r="CC73" s="28">
        <f>'FY21 Final Initial $$'!CC73/'FY21 FTE'!CC$120</f>
        <v>0</v>
      </c>
      <c r="CD73" s="20">
        <v>0</v>
      </c>
      <c r="CE73" s="28">
        <f>'FY21 Final Initial $$'!CE73/'FY21 FTE'!CE$120</f>
        <v>0</v>
      </c>
      <c r="CF73" s="28">
        <f>'FY21 Final Initial $$'!CF73/'FY21 FTE'!CF$120</f>
        <v>0</v>
      </c>
      <c r="CG73" s="28">
        <f>'FY21 Final Initial $$'!CG73/'FY21 FTE'!CG$120</f>
        <v>0</v>
      </c>
      <c r="CH73" s="28">
        <f>'FY21 Final Initial $$'!CH73/'FY21 FTE'!CH$120</f>
        <v>0</v>
      </c>
      <c r="CI73" s="28">
        <f>'FY21 Final Initial $$'!CI73/'FY21 FTE'!CI$120</f>
        <v>0</v>
      </c>
      <c r="CJ73" s="28">
        <f>'FY21 Final Initial $$'!CJ73/'FY21 FTE'!CJ$120</f>
        <v>0</v>
      </c>
      <c r="CK73" s="28">
        <f>'FY21 Final Initial $$'!CK73/'FY21 FTE'!CK$120</f>
        <v>3</v>
      </c>
      <c r="CL73" s="28">
        <f>'FY21 Final Initial $$'!CL73/'FY21 FTE'!CL$120</f>
        <v>0</v>
      </c>
      <c r="CM73" s="20">
        <v>23000</v>
      </c>
      <c r="CN73" s="20">
        <v>5000</v>
      </c>
      <c r="CO73" s="20">
        <v>244045.91999999998</v>
      </c>
      <c r="CP73" s="20">
        <v>100000</v>
      </c>
      <c r="CQ73" s="28">
        <f>'FY21 Final Initial $$'!CQ73/'FY21 FTE'!CQ$120</f>
        <v>0</v>
      </c>
      <c r="CR73" s="20">
        <v>0</v>
      </c>
      <c r="CS73" s="20">
        <v>3880</v>
      </c>
      <c r="CT73" s="20">
        <v>0</v>
      </c>
      <c r="CU73" s="20">
        <v>27605.909090909092</v>
      </c>
      <c r="CV73" s="28">
        <f>'FY21 Final Initial $$'!CV73/'FY21 FTE'!CV$120</f>
        <v>0</v>
      </c>
      <c r="CW73" s="28">
        <f>'FY21 Final Initial $$'!CW73/'FY21 FTE'!CW$120</f>
        <v>0</v>
      </c>
      <c r="CX73" s="20">
        <v>0</v>
      </c>
      <c r="CY73" s="28">
        <f>'FY21 Final Initial $$'!CY73/'FY21 FTE'!CY$120</f>
        <v>0</v>
      </c>
      <c r="CZ73" s="20">
        <v>0</v>
      </c>
      <c r="DA73" s="20">
        <v>0</v>
      </c>
      <c r="DB73" s="20">
        <v>37000</v>
      </c>
      <c r="DC73" s="20">
        <v>93931.813866405559</v>
      </c>
      <c r="DD73" s="20">
        <v>0</v>
      </c>
      <c r="DE73" s="20">
        <v>62500</v>
      </c>
      <c r="DF73" s="20">
        <v>0</v>
      </c>
      <c r="DG73" s="20">
        <v>0</v>
      </c>
      <c r="DH73" s="28">
        <f>'FY21 Final Initial $$'!DH73/'FY21 FTE'!DH$120</f>
        <v>0</v>
      </c>
      <c r="DI73" s="20"/>
      <c r="DJ73" s="20">
        <v>22430</v>
      </c>
      <c r="DK73" s="22">
        <v>0</v>
      </c>
      <c r="DL73" s="20">
        <v>0</v>
      </c>
      <c r="DM73" s="20">
        <v>0</v>
      </c>
      <c r="DN73" s="20">
        <v>6412863.9961502068</v>
      </c>
      <c r="DO73" s="29">
        <f t="shared" si="6"/>
        <v>0</v>
      </c>
      <c r="DP73" s="29">
        <f t="shared" si="6"/>
        <v>0</v>
      </c>
      <c r="DQ73" s="29">
        <f t="shared" si="7"/>
        <v>16.899999999999999</v>
      </c>
      <c r="DR73" s="29">
        <f t="shared" si="8"/>
        <v>19</v>
      </c>
      <c r="DS73" s="29">
        <f t="shared" si="9"/>
        <v>5</v>
      </c>
    </row>
    <row r="74" spans="1:123" x14ac:dyDescent="0.25">
      <c r="A74" s="18">
        <v>290</v>
      </c>
      <c r="B74" t="s">
        <v>214</v>
      </c>
      <c r="C74" t="s">
        <v>135</v>
      </c>
      <c r="D74">
        <v>5</v>
      </c>
      <c r="E74">
        <v>228</v>
      </c>
      <c r="F74" s="19">
        <f t="shared" si="5"/>
        <v>0.66228070175438591</v>
      </c>
      <c r="G74">
        <v>151</v>
      </c>
      <c r="H74" s="28">
        <f>'FY21 Final Initial $$'!H74/'FY21 FTE'!H$120</f>
        <v>1</v>
      </c>
      <c r="I74" s="28">
        <f>'FY21 Final Initial $$'!I74/'FY21 FTE'!I$120</f>
        <v>1</v>
      </c>
      <c r="J74" s="28">
        <f>'FY21 Final Initial $$'!J74/'FY21 FTE'!J$120</f>
        <v>0</v>
      </c>
      <c r="K74" s="28">
        <f>'FY21 Final Initial $$'!K74/'FY21 FTE'!K$120</f>
        <v>0</v>
      </c>
      <c r="L74" s="28">
        <f>'FY21 Final Initial $$'!L74/'FY21 FTE'!L$120</f>
        <v>0</v>
      </c>
      <c r="M74" s="28">
        <f>'FY21 Final Initial $$'!M74/'FY21 FTE'!M$120</f>
        <v>0.5</v>
      </c>
      <c r="N74" s="28">
        <f>'FY21 Final Initial $$'!N74/'FY21 FTE'!N$120</f>
        <v>1</v>
      </c>
      <c r="O74" s="28">
        <f>'FY21 Final Initial $$'!O74/'FY21 FTE'!O$120</f>
        <v>0</v>
      </c>
      <c r="P74" s="28">
        <f>'FY21 Final Initial $$'!P74/'FY21 FTE'!P$120</f>
        <v>0</v>
      </c>
      <c r="Q74" s="28">
        <f>'FY21 Final Initial $$'!Q74/'FY21 FTE'!Q$120</f>
        <v>0</v>
      </c>
      <c r="R74" s="28">
        <f>'FY21 Final Initial $$'!R74/'FY21 FTE'!R$120</f>
        <v>0</v>
      </c>
      <c r="S74" s="28">
        <f>'FY21 Final Initial $$'!S74/'FY21 FTE'!S$120</f>
        <v>1</v>
      </c>
      <c r="T74" s="28">
        <f>'FY21 Final Initial $$'!T74/'FY21 FTE'!T$120</f>
        <v>1</v>
      </c>
      <c r="U74" s="28">
        <f>'FY21 Final Initial $$'!U74/'FY21 FTE'!U$120</f>
        <v>1</v>
      </c>
      <c r="V74" s="28">
        <f>'FY21 Final Initial $$'!V74/'FY21 FTE'!V$120</f>
        <v>0.5</v>
      </c>
      <c r="W74" s="28">
        <f>'FY21 Final Initial $$'!W74/'FY21 FTE'!W$120</f>
        <v>1</v>
      </c>
      <c r="X74" s="28">
        <f>'FY21 Final Initial $$'!X74/'FY21 FTE'!X$120</f>
        <v>1</v>
      </c>
      <c r="Y74" s="28">
        <f>'FY21 Final Initial $$'!Y74/'FY21 FTE'!Y$120</f>
        <v>1</v>
      </c>
      <c r="Z74" s="28">
        <f>'FY21 Final Initial $$'!Z74/'FY21 FTE'!Z$120</f>
        <v>0</v>
      </c>
      <c r="AA74" s="28">
        <f>'FY21 Final Initial $$'!AA74/'FY21 FTE'!AA$120</f>
        <v>0</v>
      </c>
      <c r="AB74" s="28">
        <f>'FY21 Final Initial $$'!AB74/'FY21 FTE'!AB$120</f>
        <v>1</v>
      </c>
      <c r="AC74" s="28">
        <f>'FY21 Final Initial $$'!AC74/'FY21 FTE'!AC$120</f>
        <v>1</v>
      </c>
      <c r="AD74" s="28">
        <f>'FY21 Final Initial $$'!AD74/'FY21 FTE'!AD$120</f>
        <v>1</v>
      </c>
      <c r="AE74" s="28">
        <f>'FY21 Final Initial $$'!AE74/'FY21 FTE'!AE$120</f>
        <v>1</v>
      </c>
      <c r="AF74" s="28">
        <f>'FY21 Final Initial $$'!AF74/'FY21 FTE'!AF$120</f>
        <v>1</v>
      </c>
      <c r="AG74" s="28">
        <f>'FY21 Final Initial $$'!AG74/'FY21 FTE'!AG$120</f>
        <v>1</v>
      </c>
      <c r="AH74" s="28">
        <f>'FY21 Final Initial $$'!AH74/'FY21 FTE'!AH$120</f>
        <v>2</v>
      </c>
      <c r="AI74" s="28">
        <f>'FY21 Final Initial $$'!AI74/'FY21 FTE'!AI$120</f>
        <v>2</v>
      </c>
      <c r="AJ74" s="28">
        <f>'FY21 Final Initial $$'!AJ74/'FY21 FTE'!AJ$120</f>
        <v>2</v>
      </c>
      <c r="AK74" s="28">
        <f>'FY21 Final Initial $$'!AK74/'FY21 FTE'!AK$120</f>
        <v>1</v>
      </c>
      <c r="AL74" s="28">
        <f>'FY21 Final Initial $$'!AL74/'FY21 FTE'!AL$120</f>
        <v>1</v>
      </c>
      <c r="AM74" s="28">
        <f>'FY21 Final Initial $$'!AM74/'FY21 FTE'!AM$120</f>
        <v>2</v>
      </c>
      <c r="AN74" s="28">
        <f>'FY21 Final Initial $$'!AN74/'FY21 FTE'!AN$120</f>
        <v>2.0000000000000027</v>
      </c>
      <c r="AO74" s="28">
        <f>'FY21 Final Initial $$'!AO74/'FY21 FTE'!AO$120</f>
        <v>0</v>
      </c>
      <c r="AP74" s="28">
        <f>'FY21 Final Initial $$'!AP74/'FY21 FTE'!AP$120</f>
        <v>0</v>
      </c>
      <c r="AQ74" s="28">
        <f>'FY21 Final Initial $$'!AQ74/'FY21 FTE'!AQ$120</f>
        <v>0</v>
      </c>
      <c r="AR74" s="28">
        <f>'FY21 Final Initial $$'!AR74/'FY21 FTE'!AR$120</f>
        <v>0</v>
      </c>
      <c r="AS74" s="28">
        <f>'FY21 Final Initial $$'!AS74/'FY21 FTE'!AS$120</f>
        <v>0</v>
      </c>
      <c r="AT74" s="28">
        <f>'FY21 Final Initial $$'!AT74/'FY21 FTE'!AT$120</f>
        <v>0</v>
      </c>
      <c r="AU74" s="28">
        <f>'FY21 Final Initial $$'!AU74/'FY21 FTE'!AU$120</f>
        <v>0</v>
      </c>
      <c r="AV74" s="28">
        <f>'FY21 Final Initial $$'!AV74/'FY21 FTE'!AV$120</f>
        <v>0</v>
      </c>
      <c r="AW74" s="28">
        <f>'FY21 Final Initial $$'!AW74/'FY21 FTE'!AW$120</f>
        <v>0</v>
      </c>
      <c r="AX74" s="28">
        <f>'FY21 Final Initial $$'!AX74/'FY21 FTE'!AX$120</f>
        <v>0</v>
      </c>
      <c r="AY74" s="28">
        <f>'FY21 Final Initial $$'!AY74/'FY21 FTE'!AY$120</f>
        <v>1</v>
      </c>
      <c r="AZ74" s="28">
        <f>'FY21 Final Initial $$'!AZ74/'FY21 FTE'!AZ$120</f>
        <v>1</v>
      </c>
      <c r="BA74" s="28">
        <f>'FY21 Final Initial $$'!BA74/'FY21 FTE'!BA$120</f>
        <v>7</v>
      </c>
      <c r="BB74" s="28">
        <f>'FY21 Final Initial $$'!BB74/'FY21 FTE'!BB$120</f>
        <v>4</v>
      </c>
      <c r="BC74" s="28">
        <f>'FY21 Final Initial $$'!BC74/'FY21 FTE'!BC$120</f>
        <v>0</v>
      </c>
      <c r="BD74" s="28">
        <f>'FY21 Final Initial $$'!BD74/'FY21 FTE'!BD$120</f>
        <v>0</v>
      </c>
      <c r="BE74" s="28">
        <f>'FY21 Final Initial $$'!BE74/'FY21 FTE'!BE$120</f>
        <v>2</v>
      </c>
      <c r="BF74" s="28">
        <f>'FY21 Final Initial $$'!BF74/'FY21 FTE'!BF$120</f>
        <v>0</v>
      </c>
      <c r="BG74" s="28">
        <f>'FY21 Final Initial $$'!BG74/'FY21 FTE'!BG$120</f>
        <v>0</v>
      </c>
      <c r="BH74" s="28">
        <f>'FY21 Final Initial $$'!BH74/'FY21 FTE'!BH$120</f>
        <v>3</v>
      </c>
      <c r="BI74" s="28">
        <f>'FY21 Final Initial $$'!BI74/'FY21 FTE'!BI$120</f>
        <v>3</v>
      </c>
      <c r="BJ74" s="28">
        <f>'FY21 Final Initial $$'!BJ74/'FY21 FTE'!BJ$120</f>
        <v>0</v>
      </c>
      <c r="BK74" s="20">
        <v>0</v>
      </c>
      <c r="BL74" s="20"/>
      <c r="BM74" s="20"/>
      <c r="BN74" s="20">
        <v>97167.87</v>
      </c>
      <c r="BO74" s="20">
        <v>1607.53</v>
      </c>
      <c r="BP74" s="20">
        <v>0</v>
      </c>
      <c r="BQ74" s="28">
        <f>'FY21 Final Initial $$'!BQ74/'FY21 FTE'!BQ$120</f>
        <v>0</v>
      </c>
      <c r="BR74" s="28">
        <f>'FY21 Final Initial $$'!BR74/'FY21 FTE'!BR$120</f>
        <v>0</v>
      </c>
      <c r="BS74" s="28">
        <f>'FY21 Final Initial $$'!BS74/'FY21 FTE'!BS$120</f>
        <v>0</v>
      </c>
      <c r="BT74" s="28">
        <f>'FY21 Final Initial $$'!BT74/'FY21 FTE'!BT$120</f>
        <v>0</v>
      </c>
      <c r="BU74" s="28">
        <f>'FY21 Final Initial $$'!BU74/'FY21 FTE'!BU$120</f>
        <v>0</v>
      </c>
      <c r="BV74" s="28">
        <f>'FY21 Final Initial $$'!BV74/'FY21 FTE'!BV$120</f>
        <v>0</v>
      </c>
      <c r="BW74" s="28">
        <f>'FY21 Final Initial $$'!BW74/'FY21 FTE'!BW$120</f>
        <v>0</v>
      </c>
      <c r="BX74" s="20">
        <v>0</v>
      </c>
      <c r="BY74" s="20">
        <v>0</v>
      </c>
      <c r="BZ74" s="20">
        <v>0</v>
      </c>
      <c r="CA74" s="20">
        <v>0</v>
      </c>
      <c r="CB74" s="28">
        <f>'FY21 Final Initial $$'!CB74/'FY21 FTE'!CB$120</f>
        <v>0</v>
      </c>
      <c r="CC74" s="28">
        <f>'FY21 Final Initial $$'!CC74/'FY21 FTE'!CC$120</f>
        <v>0</v>
      </c>
      <c r="CD74" s="20">
        <v>0</v>
      </c>
      <c r="CE74" s="28">
        <f>'FY21 Final Initial $$'!CE74/'FY21 FTE'!CE$120</f>
        <v>0</v>
      </c>
      <c r="CF74" s="28">
        <f>'FY21 Final Initial $$'!CF74/'FY21 FTE'!CF$120</f>
        <v>0</v>
      </c>
      <c r="CG74" s="28">
        <f>'FY21 Final Initial $$'!CG74/'FY21 FTE'!CG$120</f>
        <v>0</v>
      </c>
      <c r="CH74" s="28">
        <f>'FY21 Final Initial $$'!CH74/'FY21 FTE'!CH$120</f>
        <v>0</v>
      </c>
      <c r="CI74" s="28">
        <f>'FY21 Final Initial $$'!CI74/'FY21 FTE'!CI$120</f>
        <v>0</v>
      </c>
      <c r="CJ74" s="28">
        <f>'FY21 Final Initial $$'!CJ74/'FY21 FTE'!CJ$120</f>
        <v>0</v>
      </c>
      <c r="CK74" s="28">
        <f>'FY21 Final Initial $$'!CK74/'FY21 FTE'!CK$120</f>
        <v>0</v>
      </c>
      <c r="CL74" s="28">
        <f>'FY21 Final Initial $$'!CL74/'FY21 FTE'!CL$120</f>
        <v>0</v>
      </c>
      <c r="CM74" s="20">
        <v>0</v>
      </c>
      <c r="CN74" s="20">
        <v>0</v>
      </c>
      <c r="CO74" s="20">
        <v>55921.759999999995</v>
      </c>
      <c r="CP74" s="20">
        <v>0</v>
      </c>
      <c r="CQ74" s="28">
        <f>'FY21 Final Initial $$'!CQ74/'FY21 FTE'!CQ$120</f>
        <v>0</v>
      </c>
      <c r="CR74" s="20">
        <v>0</v>
      </c>
      <c r="CS74" s="20">
        <v>3020</v>
      </c>
      <c r="CT74" s="20">
        <v>35280</v>
      </c>
      <c r="CU74" s="20">
        <v>13467.076517150395</v>
      </c>
      <c r="CV74" s="28">
        <f>'FY21 Final Initial $$'!CV74/'FY21 FTE'!CV$120</f>
        <v>0</v>
      </c>
      <c r="CW74" s="28">
        <f>'FY21 Final Initial $$'!CW74/'FY21 FTE'!CW$120</f>
        <v>0</v>
      </c>
      <c r="CX74" s="20">
        <v>0</v>
      </c>
      <c r="CY74" s="28">
        <f>'FY21 Final Initial $$'!CY74/'FY21 FTE'!CY$120</f>
        <v>0</v>
      </c>
      <c r="CZ74" s="20">
        <v>0</v>
      </c>
      <c r="DA74" s="20">
        <v>0</v>
      </c>
      <c r="DB74" s="20">
        <v>22800</v>
      </c>
      <c r="DC74" s="20">
        <v>64079.127056448124</v>
      </c>
      <c r="DD74" s="20">
        <v>0</v>
      </c>
      <c r="DE74" s="20">
        <v>0</v>
      </c>
      <c r="DF74" s="20">
        <v>0</v>
      </c>
      <c r="DG74" s="20">
        <v>0</v>
      </c>
      <c r="DH74" s="28">
        <f>'FY21 Final Initial $$'!DH74/'FY21 FTE'!DH$120</f>
        <v>0</v>
      </c>
      <c r="DI74" s="20"/>
      <c r="DJ74" s="20">
        <v>17550.000464916229</v>
      </c>
      <c r="DK74" s="22">
        <v>0</v>
      </c>
      <c r="DL74" s="20">
        <v>0</v>
      </c>
      <c r="DM74" s="20">
        <v>0</v>
      </c>
      <c r="DN74" s="20">
        <v>4323703.3675446101</v>
      </c>
      <c r="DO74" s="29">
        <f t="shared" si="6"/>
        <v>5</v>
      </c>
      <c r="DP74" s="29">
        <f t="shared" si="6"/>
        <v>5</v>
      </c>
      <c r="DQ74" s="29">
        <f t="shared" si="7"/>
        <v>8.0000000000000036</v>
      </c>
      <c r="DR74" s="29">
        <f t="shared" si="8"/>
        <v>11</v>
      </c>
      <c r="DS74" s="29">
        <f t="shared" si="9"/>
        <v>4</v>
      </c>
    </row>
    <row r="75" spans="1:123" x14ac:dyDescent="0.25">
      <c r="A75" s="18">
        <v>291</v>
      </c>
      <c r="B75" t="s">
        <v>215</v>
      </c>
      <c r="C75" t="s">
        <v>135</v>
      </c>
      <c r="D75">
        <v>8</v>
      </c>
      <c r="E75">
        <v>452</v>
      </c>
      <c r="F75" s="19">
        <f t="shared" si="5"/>
        <v>0.71017699115044253</v>
      </c>
      <c r="G75">
        <v>321</v>
      </c>
      <c r="H75" s="28">
        <f>'FY21 Final Initial $$'!H75/'FY21 FTE'!H$120</f>
        <v>1</v>
      </c>
      <c r="I75" s="28">
        <f>'FY21 Final Initial $$'!I75/'FY21 FTE'!I$120</f>
        <v>1</v>
      </c>
      <c r="J75" s="28">
        <f>'FY21 Final Initial $$'!J75/'FY21 FTE'!J$120</f>
        <v>1.1000000000000001</v>
      </c>
      <c r="K75" s="28">
        <f>'FY21 Final Initial $$'!K75/'FY21 FTE'!K$120</f>
        <v>0</v>
      </c>
      <c r="L75" s="28">
        <f>'FY21 Final Initial $$'!L75/'FY21 FTE'!L$120</f>
        <v>0</v>
      </c>
      <c r="M75" s="28">
        <f>'FY21 Final Initial $$'!M75/'FY21 FTE'!M$120</f>
        <v>1</v>
      </c>
      <c r="N75" s="28">
        <f>'FY21 Final Initial $$'!N75/'FY21 FTE'!N$120</f>
        <v>1</v>
      </c>
      <c r="O75" s="28">
        <f>'FY21 Final Initial $$'!O75/'FY21 FTE'!O$120</f>
        <v>1.1000000000000001</v>
      </c>
      <c r="P75" s="28">
        <f>'FY21 Final Initial $$'!P75/'FY21 FTE'!P$120</f>
        <v>0</v>
      </c>
      <c r="Q75" s="28">
        <f>'FY21 Final Initial $$'!Q75/'FY21 FTE'!Q$120</f>
        <v>0</v>
      </c>
      <c r="R75" s="28">
        <f>'FY21 Final Initial $$'!R75/'FY21 FTE'!R$120</f>
        <v>0</v>
      </c>
      <c r="S75" s="28">
        <f>'FY21 Final Initial $$'!S75/'FY21 FTE'!S$120</f>
        <v>1</v>
      </c>
      <c r="T75" s="28">
        <f>'FY21 Final Initial $$'!T75/'FY21 FTE'!T$120</f>
        <v>1</v>
      </c>
      <c r="U75" s="28">
        <f>'FY21 Final Initial $$'!U75/'FY21 FTE'!U$120</f>
        <v>2</v>
      </c>
      <c r="V75" s="28">
        <f>'FY21 Final Initial $$'!V75/'FY21 FTE'!V$120</f>
        <v>1</v>
      </c>
      <c r="W75" s="28">
        <f>'FY21 Final Initial $$'!W75/'FY21 FTE'!W$120</f>
        <v>1</v>
      </c>
      <c r="X75" s="28">
        <f>'FY21 Final Initial $$'!X75/'FY21 FTE'!X$120</f>
        <v>1</v>
      </c>
      <c r="Y75" s="28">
        <f>'FY21 Final Initial $$'!Y75/'FY21 FTE'!Y$120</f>
        <v>1</v>
      </c>
      <c r="Z75" s="28">
        <f>'FY21 Final Initial $$'!Z75/'FY21 FTE'!Z$120</f>
        <v>1.5</v>
      </c>
      <c r="AA75" s="28">
        <f>'FY21 Final Initial $$'!AA75/'FY21 FTE'!AA$120</f>
        <v>0</v>
      </c>
      <c r="AB75" s="28">
        <f>'FY21 Final Initial $$'!AB75/'FY21 FTE'!AB$120</f>
        <v>3</v>
      </c>
      <c r="AC75" s="28">
        <f>'FY21 Final Initial $$'!AC75/'FY21 FTE'!AC$120</f>
        <v>3</v>
      </c>
      <c r="AD75" s="28">
        <f>'FY21 Final Initial $$'!AD75/'FY21 FTE'!AD$120</f>
        <v>0</v>
      </c>
      <c r="AE75" s="28">
        <f>'FY21 Final Initial $$'!AE75/'FY21 FTE'!AE$120</f>
        <v>0</v>
      </c>
      <c r="AF75" s="28">
        <f>'FY21 Final Initial $$'!AF75/'FY21 FTE'!AF$120</f>
        <v>3</v>
      </c>
      <c r="AG75" s="28">
        <f>'FY21 Final Initial $$'!AG75/'FY21 FTE'!AG$120</f>
        <v>3</v>
      </c>
      <c r="AH75" s="28">
        <f>'FY21 Final Initial $$'!AH75/'FY21 FTE'!AH$120</f>
        <v>3</v>
      </c>
      <c r="AI75" s="28">
        <f>'FY21 Final Initial $$'!AI75/'FY21 FTE'!AI$120</f>
        <v>3</v>
      </c>
      <c r="AJ75" s="28">
        <f>'FY21 Final Initial $$'!AJ75/'FY21 FTE'!AJ$120</f>
        <v>3</v>
      </c>
      <c r="AK75" s="28">
        <f>'FY21 Final Initial $$'!AK75/'FY21 FTE'!AK$120</f>
        <v>3</v>
      </c>
      <c r="AL75" s="28">
        <f>'FY21 Final Initial $$'!AL75/'FY21 FTE'!AL$120</f>
        <v>3</v>
      </c>
      <c r="AM75" s="28">
        <f>'FY21 Final Initial $$'!AM75/'FY21 FTE'!AM$120</f>
        <v>3</v>
      </c>
      <c r="AN75" s="28">
        <f>'FY21 Final Initial $$'!AN75/'FY21 FTE'!AN$120</f>
        <v>3.000000000000004</v>
      </c>
      <c r="AO75" s="28">
        <f>'FY21 Final Initial $$'!AO75/'FY21 FTE'!AO$120</f>
        <v>0</v>
      </c>
      <c r="AP75" s="28">
        <f>'FY21 Final Initial $$'!AP75/'FY21 FTE'!AP$120</f>
        <v>0</v>
      </c>
      <c r="AQ75" s="28">
        <f>'FY21 Final Initial $$'!AQ75/'FY21 FTE'!AQ$120</f>
        <v>0</v>
      </c>
      <c r="AR75" s="28">
        <f>'FY21 Final Initial $$'!AR75/'FY21 FTE'!AR$120</f>
        <v>0</v>
      </c>
      <c r="AS75" s="28">
        <f>'FY21 Final Initial $$'!AS75/'FY21 FTE'!AS$120</f>
        <v>0</v>
      </c>
      <c r="AT75" s="28">
        <f>'FY21 Final Initial $$'!AT75/'FY21 FTE'!AT$120</f>
        <v>0</v>
      </c>
      <c r="AU75" s="28">
        <f>'FY21 Final Initial $$'!AU75/'FY21 FTE'!AU$120</f>
        <v>0</v>
      </c>
      <c r="AV75" s="28">
        <f>'FY21 Final Initial $$'!AV75/'FY21 FTE'!AV$120</f>
        <v>0</v>
      </c>
      <c r="AW75" s="28">
        <f>'FY21 Final Initial $$'!AW75/'FY21 FTE'!AW$120</f>
        <v>0</v>
      </c>
      <c r="AX75" s="28">
        <f>'FY21 Final Initial $$'!AX75/'FY21 FTE'!AX$120</f>
        <v>0</v>
      </c>
      <c r="AY75" s="28">
        <f>'FY21 Final Initial $$'!AY75/'FY21 FTE'!AY$120</f>
        <v>1</v>
      </c>
      <c r="AZ75" s="28">
        <f>'FY21 Final Initial $$'!AZ75/'FY21 FTE'!AZ$120</f>
        <v>1</v>
      </c>
      <c r="BA75" s="28">
        <f>'FY21 Final Initial $$'!BA75/'FY21 FTE'!BA$120</f>
        <v>6</v>
      </c>
      <c r="BB75" s="28">
        <f>'FY21 Final Initial $$'!BB75/'FY21 FTE'!BB$120</f>
        <v>6</v>
      </c>
      <c r="BC75" s="28">
        <f>'FY21 Final Initial $$'!BC75/'FY21 FTE'!BC$120</f>
        <v>0</v>
      </c>
      <c r="BD75" s="28">
        <f>'FY21 Final Initial $$'!BD75/'FY21 FTE'!BD$120</f>
        <v>0</v>
      </c>
      <c r="BE75" s="28">
        <f>'FY21 Final Initial $$'!BE75/'FY21 FTE'!BE$120</f>
        <v>0.18181818181818182</v>
      </c>
      <c r="BF75" s="28">
        <f>'FY21 Final Initial $$'!BF75/'FY21 FTE'!BF$120</f>
        <v>0</v>
      </c>
      <c r="BG75" s="28">
        <f>'FY21 Final Initial $$'!BG75/'FY21 FTE'!BG$120</f>
        <v>0</v>
      </c>
      <c r="BH75" s="28">
        <f>'FY21 Final Initial $$'!BH75/'FY21 FTE'!BH$120</f>
        <v>3</v>
      </c>
      <c r="BI75" s="28">
        <f>'FY21 Final Initial $$'!BI75/'FY21 FTE'!BI$120</f>
        <v>3</v>
      </c>
      <c r="BJ75" s="28">
        <f>'FY21 Final Initial $$'!BJ75/'FY21 FTE'!BJ$120</f>
        <v>1</v>
      </c>
      <c r="BK75" s="20">
        <v>0</v>
      </c>
      <c r="BL75" s="20"/>
      <c r="BM75" s="20"/>
      <c r="BN75" s="20">
        <v>181550.49</v>
      </c>
      <c r="BO75" s="20">
        <v>3003.55</v>
      </c>
      <c r="BP75" s="20">
        <v>0</v>
      </c>
      <c r="BQ75" s="28">
        <f>'FY21 Final Initial $$'!BQ75/'FY21 FTE'!BQ$120</f>
        <v>0</v>
      </c>
      <c r="BR75" s="28">
        <f>'FY21 Final Initial $$'!BR75/'FY21 FTE'!BR$120</f>
        <v>0</v>
      </c>
      <c r="BS75" s="28">
        <f>'FY21 Final Initial $$'!BS75/'FY21 FTE'!BS$120</f>
        <v>0</v>
      </c>
      <c r="BT75" s="28">
        <f>'FY21 Final Initial $$'!BT75/'FY21 FTE'!BT$120</f>
        <v>0</v>
      </c>
      <c r="BU75" s="28">
        <f>'FY21 Final Initial $$'!BU75/'FY21 FTE'!BU$120</f>
        <v>0</v>
      </c>
      <c r="BV75" s="28">
        <f>'FY21 Final Initial $$'!BV75/'FY21 FTE'!BV$120</f>
        <v>0</v>
      </c>
      <c r="BW75" s="28">
        <f>'FY21 Final Initial $$'!BW75/'FY21 FTE'!BW$120</f>
        <v>0</v>
      </c>
      <c r="BX75" s="20">
        <v>0</v>
      </c>
      <c r="BY75" s="20">
        <v>0</v>
      </c>
      <c r="BZ75" s="20">
        <v>0</v>
      </c>
      <c r="CA75" s="20">
        <v>0</v>
      </c>
      <c r="CB75" s="28">
        <f>'FY21 Final Initial $$'!CB75/'FY21 FTE'!CB$120</f>
        <v>0</v>
      </c>
      <c r="CC75" s="28">
        <f>'FY21 Final Initial $$'!CC75/'FY21 FTE'!CC$120</f>
        <v>0</v>
      </c>
      <c r="CD75" s="20">
        <v>0</v>
      </c>
      <c r="CE75" s="28">
        <f>'FY21 Final Initial $$'!CE75/'FY21 FTE'!CE$120</f>
        <v>0</v>
      </c>
      <c r="CF75" s="28">
        <f>'FY21 Final Initial $$'!CF75/'FY21 FTE'!CF$120</f>
        <v>0</v>
      </c>
      <c r="CG75" s="28">
        <f>'FY21 Final Initial $$'!CG75/'FY21 FTE'!CG$120</f>
        <v>0</v>
      </c>
      <c r="CH75" s="28">
        <f>'FY21 Final Initial $$'!CH75/'FY21 FTE'!CH$120</f>
        <v>0</v>
      </c>
      <c r="CI75" s="28">
        <f>'FY21 Final Initial $$'!CI75/'FY21 FTE'!CI$120</f>
        <v>0</v>
      </c>
      <c r="CJ75" s="28">
        <f>'FY21 Final Initial $$'!CJ75/'FY21 FTE'!CJ$120</f>
        <v>0</v>
      </c>
      <c r="CK75" s="28">
        <f>'FY21 Final Initial $$'!CK75/'FY21 FTE'!CK$120</f>
        <v>0</v>
      </c>
      <c r="CL75" s="28">
        <f>'FY21 Final Initial $$'!CL75/'FY21 FTE'!CL$120</f>
        <v>0</v>
      </c>
      <c r="CM75" s="20">
        <v>0</v>
      </c>
      <c r="CN75" s="20">
        <v>0</v>
      </c>
      <c r="CO75" s="20">
        <v>111843.51999999999</v>
      </c>
      <c r="CP75" s="20">
        <v>0</v>
      </c>
      <c r="CQ75" s="28">
        <f>'FY21 Final Initial $$'!CQ75/'FY21 FTE'!CQ$120</f>
        <v>0</v>
      </c>
      <c r="CR75" s="20">
        <v>0</v>
      </c>
      <c r="CS75" s="20">
        <v>6420</v>
      </c>
      <c r="CT75" s="20">
        <v>166040</v>
      </c>
      <c r="CU75" s="20">
        <v>24700.463414634149</v>
      </c>
      <c r="CV75" s="28">
        <f>'FY21 Final Initial $$'!CV75/'FY21 FTE'!CV$120</f>
        <v>0</v>
      </c>
      <c r="CW75" s="28">
        <f>'FY21 Final Initial $$'!CW75/'FY21 FTE'!CW$120</f>
        <v>0</v>
      </c>
      <c r="CX75" s="20">
        <v>0</v>
      </c>
      <c r="CY75" s="28">
        <f>'FY21 Final Initial $$'!CY75/'FY21 FTE'!CY$120</f>
        <v>0</v>
      </c>
      <c r="CZ75" s="20">
        <v>0</v>
      </c>
      <c r="DA75" s="20">
        <v>0</v>
      </c>
      <c r="DB75" s="20">
        <v>45200</v>
      </c>
      <c r="DC75" s="20">
        <v>92613.013551502168</v>
      </c>
      <c r="DD75" s="20">
        <v>0</v>
      </c>
      <c r="DE75" s="20">
        <v>0</v>
      </c>
      <c r="DF75" s="20">
        <v>0</v>
      </c>
      <c r="DG75" s="20">
        <v>0</v>
      </c>
      <c r="DH75" s="28">
        <f>'FY21 Final Initial $$'!DH75/'FY21 FTE'!DH$120</f>
        <v>0</v>
      </c>
      <c r="DI75" s="20"/>
      <c r="DJ75" s="20">
        <v>28599.999845027924</v>
      </c>
      <c r="DK75" s="22">
        <v>0</v>
      </c>
      <c r="DL75" s="20">
        <v>0</v>
      </c>
      <c r="DM75" s="20">
        <v>0</v>
      </c>
      <c r="DN75" s="20">
        <v>6328632.1269665789</v>
      </c>
      <c r="DO75" s="29">
        <f t="shared" si="6"/>
        <v>9</v>
      </c>
      <c r="DP75" s="29">
        <f t="shared" si="6"/>
        <v>9</v>
      </c>
      <c r="DQ75" s="29">
        <f t="shared" si="7"/>
        <v>15.000000000000004</v>
      </c>
      <c r="DR75" s="29">
        <f t="shared" si="8"/>
        <v>8.1818181818181817</v>
      </c>
      <c r="DS75" s="29">
        <f t="shared" si="9"/>
        <v>6</v>
      </c>
    </row>
    <row r="76" spans="1:123" x14ac:dyDescent="0.25">
      <c r="A76" s="18">
        <v>292</v>
      </c>
      <c r="B76" t="s">
        <v>216</v>
      </c>
      <c r="C76" t="s">
        <v>150</v>
      </c>
      <c r="D76">
        <v>3</v>
      </c>
      <c r="E76">
        <v>761</v>
      </c>
      <c r="F76" s="19">
        <f t="shared" si="5"/>
        <v>0.11300919842312747</v>
      </c>
      <c r="G76">
        <v>86</v>
      </c>
      <c r="H76" s="28">
        <f>'FY21 Final Initial $$'!H76/'FY21 FTE'!H$120</f>
        <v>1</v>
      </c>
      <c r="I76" s="28">
        <f>'FY21 Final Initial $$'!I76/'FY21 FTE'!I$120</f>
        <v>2</v>
      </c>
      <c r="J76" s="28">
        <f>'FY21 Final Initial $$'!J76/'FY21 FTE'!J$120</f>
        <v>2.1</v>
      </c>
      <c r="K76" s="28">
        <f>'FY21 Final Initial $$'!K76/'FY21 FTE'!K$120</f>
        <v>1</v>
      </c>
      <c r="L76" s="28">
        <f>'FY21 Final Initial $$'!L76/'FY21 FTE'!L$120</f>
        <v>0</v>
      </c>
      <c r="M76" s="28">
        <f>'FY21 Final Initial $$'!M76/'FY21 FTE'!M$120</f>
        <v>1</v>
      </c>
      <c r="N76" s="28">
        <f>'FY21 Final Initial $$'!N76/'FY21 FTE'!N$120</f>
        <v>1</v>
      </c>
      <c r="O76" s="28">
        <f>'FY21 Final Initial $$'!O76/'FY21 FTE'!O$120</f>
        <v>1.9</v>
      </c>
      <c r="P76" s="28">
        <f>'FY21 Final Initial $$'!P76/'FY21 FTE'!P$120</f>
        <v>0</v>
      </c>
      <c r="Q76" s="28">
        <f>'FY21 Final Initial $$'!Q76/'FY21 FTE'!Q$120</f>
        <v>0</v>
      </c>
      <c r="R76" s="28">
        <f>'FY21 Final Initial $$'!R76/'FY21 FTE'!R$120</f>
        <v>0</v>
      </c>
      <c r="S76" s="28">
        <f>'FY21 Final Initial $$'!S76/'FY21 FTE'!S$120</f>
        <v>1</v>
      </c>
      <c r="T76" s="28">
        <f>'FY21 Final Initial $$'!T76/'FY21 FTE'!T$120</f>
        <v>1</v>
      </c>
      <c r="U76" s="28">
        <f>'FY21 Final Initial $$'!U76/'FY21 FTE'!U$120</f>
        <v>4</v>
      </c>
      <c r="V76" s="28">
        <f>'FY21 Final Initial $$'!V76/'FY21 FTE'!V$120</f>
        <v>2</v>
      </c>
      <c r="W76" s="28">
        <f>'FY21 Final Initial $$'!W76/'FY21 FTE'!W$120</f>
        <v>1</v>
      </c>
      <c r="X76" s="28">
        <f>'FY21 Final Initial $$'!X76/'FY21 FTE'!X$120</f>
        <v>1</v>
      </c>
      <c r="Y76" s="28">
        <f>'FY21 Final Initial $$'!Y76/'FY21 FTE'!Y$120</f>
        <v>1</v>
      </c>
      <c r="Z76" s="28">
        <f>'FY21 Final Initial $$'!Z76/'FY21 FTE'!Z$120</f>
        <v>3.5</v>
      </c>
      <c r="AA76" s="28">
        <f>'FY21 Final Initial $$'!AA76/'FY21 FTE'!AA$120</f>
        <v>0</v>
      </c>
      <c r="AB76" s="28">
        <f>'FY21 Final Initial $$'!AB76/'FY21 FTE'!AB$120</f>
        <v>0</v>
      </c>
      <c r="AC76" s="28">
        <f>'FY21 Final Initial $$'!AC76/'FY21 FTE'!AC$120</f>
        <v>0</v>
      </c>
      <c r="AD76" s="28">
        <f>'FY21 Final Initial $$'!AD76/'FY21 FTE'!AD$120</f>
        <v>0</v>
      </c>
      <c r="AE76" s="28">
        <f>'FY21 Final Initial $$'!AE76/'FY21 FTE'!AE$120</f>
        <v>0</v>
      </c>
      <c r="AF76" s="28">
        <f>'FY21 Final Initial $$'!AF76/'FY21 FTE'!AF$120</f>
        <v>2</v>
      </c>
      <c r="AG76" s="28">
        <f>'FY21 Final Initial $$'!AG76/'FY21 FTE'!AG$120</f>
        <v>2</v>
      </c>
      <c r="AH76" s="28">
        <f>'FY21 Final Initial $$'!AH76/'FY21 FTE'!AH$120</f>
        <v>4</v>
      </c>
      <c r="AI76" s="28">
        <f>'FY21 Final Initial $$'!AI76/'FY21 FTE'!AI$120</f>
        <v>4</v>
      </c>
      <c r="AJ76" s="28">
        <f>'FY21 Final Initial $$'!AJ76/'FY21 FTE'!AJ$120</f>
        <v>4</v>
      </c>
      <c r="AK76" s="28">
        <f>'FY21 Final Initial $$'!AK76/'FY21 FTE'!AK$120</f>
        <v>4</v>
      </c>
      <c r="AL76" s="28">
        <f>'FY21 Final Initial $$'!AL76/'FY21 FTE'!AL$120</f>
        <v>4</v>
      </c>
      <c r="AM76" s="28">
        <f>'FY21 Final Initial $$'!AM76/'FY21 FTE'!AM$120</f>
        <v>3</v>
      </c>
      <c r="AN76" s="28">
        <f>'FY21 Final Initial $$'!AN76/'FY21 FTE'!AN$120</f>
        <v>4.0000000000000053</v>
      </c>
      <c r="AO76" s="28">
        <f>'FY21 Final Initial $$'!AO76/'FY21 FTE'!AO$120</f>
        <v>3.9</v>
      </c>
      <c r="AP76" s="28">
        <f>'FY21 Final Initial $$'!AP76/'FY21 FTE'!AP$120</f>
        <v>4.0999999999999996</v>
      </c>
      <c r="AQ76" s="28">
        <f>'FY21 Final Initial $$'!AQ76/'FY21 FTE'!AQ$120</f>
        <v>3.5999999999999996</v>
      </c>
      <c r="AR76" s="28">
        <f>'FY21 Final Initial $$'!AR76/'FY21 FTE'!AR$120</f>
        <v>0</v>
      </c>
      <c r="AS76" s="28">
        <f>'FY21 Final Initial $$'!AS76/'FY21 FTE'!AS$120</f>
        <v>0</v>
      </c>
      <c r="AT76" s="28">
        <f>'FY21 Final Initial $$'!AT76/'FY21 FTE'!AT$120</f>
        <v>0</v>
      </c>
      <c r="AU76" s="28">
        <f>'FY21 Final Initial $$'!AU76/'FY21 FTE'!AU$120</f>
        <v>0</v>
      </c>
      <c r="AV76" s="28">
        <f>'FY21 Final Initial $$'!AV76/'FY21 FTE'!AV$120</f>
        <v>0</v>
      </c>
      <c r="AW76" s="28">
        <f>'FY21 Final Initial $$'!AW76/'FY21 FTE'!AW$120</f>
        <v>0</v>
      </c>
      <c r="AX76" s="28">
        <f>'FY21 Final Initial $$'!AX76/'FY21 FTE'!AX$120</f>
        <v>0</v>
      </c>
      <c r="AY76" s="28">
        <f>'FY21 Final Initial $$'!AY76/'FY21 FTE'!AY$120</f>
        <v>2</v>
      </c>
      <c r="AZ76" s="28">
        <f>'FY21 Final Initial $$'!AZ76/'FY21 FTE'!AZ$120</f>
        <v>2</v>
      </c>
      <c r="BA76" s="28">
        <f>'FY21 Final Initial $$'!BA76/'FY21 FTE'!BA$120</f>
        <v>8</v>
      </c>
      <c r="BB76" s="28">
        <f>'FY21 Final Initial $$'!BB76/'FY21 FTE'!BB$120</f>
        <v>1</v>
      </c>
      <c r="BC76" s="28">
        <f>'FY21 Final Initial $$'!BC76/'FY21 FTE'!BC$120</f>
        <v>0</v>
      </c>
      <c r="BD76" s="28">
        <f>'FY21 Final Initial $$'!BD76/'FY21 FTE'!BD$120</f>
        <v>0</v>
      </c>
      <c r="BE76" s="28">
        <f>'FY21 Final Initial $$'!BE76/'FY21 FTE'!BE$120</f>
        <v>11</v>
      </c>
      <c r="BF76" s="28">
        <f>'FY21 Final Initial $$'!BF76/'FY21 FTE'!BF$120</f>
        <v>0</v>
      </c>
      <c r="BG76" s="28">
        <f>'FY21 Final Initial $$'!BG76/'FY21 FTE'!BG$120</f>
        <v>2</v>
      </c>
      <c r="BH76" s="28">
        <f>'FY21 Final Initial $$'!BH76/'FY21 FTE'!BH$120</f>
        <v>0</v>
      </c>
      <c r="BI76" s="28">
        <f>'FY21 Final Initial $$'!BI76/'FY21 FTE'!BI$120</f>
        <v>0</v>
      </c>
      <c r="BJ76" s="28">
        <f>'FY21 Final Initial $$'!BJ76/'FY21 FTE'!BJ$120</f>
        <v>0</v>
      </c>
      <c r="BK76" s="20">
        <v>0</v>
      </c>
      <c r="BL76" s="20"/>
      <c r="BM76" s="20"/>
      <c r="BN76" s="20">
        <v>0</v>
      </c>
      <c r="BO76" s="20">
        <v>0</v>
      </c>
      <c r="BP76" s="20">
        <v>18275</v>
      </c>
      <c r="BQ76" s="28">
        <f>'FY21 Final Initial $$'!BQ76/'FY21 FTE'!BQ$120</f>
        <v>0</v>
      </c>
      <c r="BR76" s="28">
        <f>'FY21 Final Initial $$'!BR76/'FY21 FTE'!BR$120</f>
        <v>0</v>
      </c>
      <c r="BS76" s="28">
        <f>'FY21 Final Initial $$'!BS76/'FY21 FTE'!BS$120</f>
        <v>0</v>
      </c>
      <c r="BT76" s="28">
        <f>'FY21 Final Initial $$'!BT76/'FY21 FTE'!BT$120</f>
        <v>0</v>
      </c>
      <c r="BU76" s="28">
        <f>'FY21 Final Initial $$'!BU76/'FY21 FTE'!BU$120</f>
        <v>0</v>
      </c>
      <c r="BV76" s="28">
        <f>'FY21 Final Initial $$'!BV76/'FY21 FTE'!BV$120</f>
        <v>0</v>
      </c>
      <c r="BW76" s="28">
        <f>'FY21 Final Initial $$'!BW76/'FY21 FTE'!BW$120</f>
        <v>0</v>
      </c>
      <c r="BX76" s="20">
        <v>0</v>
      </c>
      <c r="BY76" s="20">
        <v>0</v>
      </c>
      <c r="BZ76" s="20">
        <v>0</v>
      </c>
      <c r="CA76" s="20">
        <v>0</v>
      </c>
      <c r="CB76" s="28">
        <f>'FY21 Final Initial $$'!CB76/'FY21 FTE'!CB$120</f>
        <v>0</v>
      </c>
      <c r="CC76" s="28">
        <f>'FY21 Final Initial $$'!CC76/'FY21 FTE'!CC$120</f>
        <v>0</v>
      </c>
      <c r="CD76" s="20">
        <v>0</v>
      </c>
      <c r="CE76" s="28">
        <f>'FY21 Final Initial $$'!CE76/'FY21 FTE'!CE$120</f>
        <v>0</v>
      </c>
      <c r="CF76" s="28">
        <f>'FY21 Final Initial $$'!CF76/'FY21 FTE'!CF$120</f>
        <v>0</v>
      </c>
      <c r="CG76" s="28">
        <f>'FY21 Final Initial $$'!CG76/'FY21 FTE'!CG$120</f>
        <v>0</v>
      </c>
      <c r="CH76" s="28">
        <f>'FY21 Final Initial $$'!CH76/'FY21 FTE'!CH$120</f>
        <v>0</v>
      </c>
      <c r="CI76" s="28">
        <f>'FY21 Final Initial $$'!CI76/'FY21 FTE'!CI$120</f>
        <v>0</v>
      </c>
      <c r="CJ76" s="28">
        <f>'FY21 Final Initial $$'!CJ76/'FY21 FTE'!CJ$120</f>
        <v>0</v>
      </c>
      <c r="CK76" s="28">
        <f>'FY21 Final Initial $$'!CK76/'FY21 FTE'!CK$120</f>
        <v>2</v>
      </c>
      <c r="CL76" s="28">
        <f>'FY21 Final Initial $$'!CL76/'FY21 FTE'!CL$120</f>
        <v>0</v>
      </c>
      <c r="CM76" s="20">
        <v>23000</v>
      </c>
      <c r="CN76" s="20">
        <v>5000</v>
      </c>
      <c r="CO76" s="20">
        <v>167765.27999999997</v>
      </c>
      <c r="CP76" s="20">
        <v>100000</v>
      </c>
      <c r="CQ76" s="28">
        <f>'FY21 Final Initial $$'!CQ76/'FY21 FTE'!CQ$120</f>
        <v>0</v>
      </c>
      <c r="CR76" s="20">
        <v>0</v>
      </c>
      <c r="CS76" s="20">
        <v>0</v>
      </c>
      <c r="CT76" s="20">
        <v>0</v>
      </c>
      <c r="CU76" s="20">
        <v>43693.308474576275</v>
      </c>
      <c r="CV76" s="28">
        <f>'FY21 Final Initial $$'!CV76/'FY21 FTE'!CV$120</f>
        <v>0</v>
      </c>
      <c r="CW76" s="28">
        <f>'FY21 Final Initial $$'!CW76/'FY21 FTE'!CW$120</f>
        <v>0</v>
      </c>
      <c r="CX76" s="20">
        <v>0</v>
      </c>
      <c r="CY76" s="28">
        <f>'FY21 Final Initial $$'!CY76/'FY21 FTE'!CY$120</f>
        <v>0</v>
      </c>
      <c r="CZ76" s="20">
        <v>0</v>
      </c>
      <c r="DA76" s="20">
        <v>0</v>
      </c>
      <c r="DB76" s="20">
        <v>76100</v>
      </c>
      <c r="DC76" s="20">
        <v>156905.81227316384</v>
      </c>
      <c r="DD76" s="20">
        <v>0</v>
      </c>
      <c r="DE76" s="20">
        <v>538870</v>
      </c>
      <c r="DF76" s="20">
        <v>0</v>
      </c>
      <c r="DG76" s="20">
        <v>0</v>
      </c>
      <c r="DH76" s="28">
        <f>'FY21 Final Initial $$'!DH76/'FY21 FTE'!DH$120</f>
        <v>0</v>
      </c>
      <c r="DI76" s="20"/>
      <c r="DJ76" s="20">
        <v>7175.0000436790287</v>
      </c>
      <c r="DK76" s="22">
        <v>0</v>
      </c>
      <c r="DL76" s="20">
        <v>0</v>
      </c>
      <c r="DM76" s="20">
        <v>0</v>
      </c>
      <c r="DN76" s="20">
        <v>10782487.0264538</v>
      </c>
      <c r="DO76" s="29">
        <f t="shared" si="6"/>
        <v>6</v>
      </c>
      <c r="DP76" s="29">
        <f t="shared" si="6"/>
        <v>6</v>
      </c>
      <c r="DQ76" s="29">
        <f t="shared" si="7"/>
        <v>30.600000000000009</v>
      </c>
      <c r="DR76" s="29">
        <f t="shared" si="8"/>
        <v>25</v>
      </c>
      <c r="DS76" s="29">
        <f t="shared" si="9"/>
        <v>1</v>
      </c>
    </row>
    <row r="77" spans="1:123" x14ac:dyDescent="0.25">
      <c r="A77" s="18">
        <v>294</v>
      </c>
      <c r="B77" t="s">
        <v>217</v>
      </c>
      <c r="C77" t="s">
        <v>135</v>
      </c>
      <c r="D77">
        <v>8</v>
      </c>
      <c r="E77">
        <v>382</v>
      </c>
      <c r="F77" s="19">
        <f t="shared" si="5"/>
        <v>0.86387434554973819</v>
      </c>
      <c r="G77">
        <v>330</v>
      </c>
      <c r="H77" s="28">
        <f>'FY21 Final Initial $$'!H77/'FY21 FTE'!H$120</f>
        <v>1</v>
      </c>
      <c r="I77" s="28">
        <f>'FY21 Final Initial $$'!I77/'FY21 FTE'!I$120</f>
        <v>1</v>
      </c>
      <c r="J77" s="28">
        <f>'FY21 Final Initial $$'!J77/'FY21 FTE'!J$120</f>
        <v>1</v>
      </c>
      <c r="K77" s="28">
        <f>'FY21 Final Initial $$'!K77/'FY21 FTE'!K$120</f>
        <v>0</v>
      </c>
      <c r="L77" s="28">
        <f>'FY21 Final Initial $$'!L77/'FY21 FTE'!L$120</f>
        <v>0</v>
      </c>
      <c r="M77" s="28">
        <f>'FY21 Final Initial $$'!M77/'FY21 FTE'!M$120</f>
        <v>1</v>
      </c>
      <c r="N77" s="28">
        <f>'FY21 Final Initial $$'!N77/'FY21 FTE'!N$120</f>
        <v>1</v>
      </c>
      <c r="O77" s="28">
        <f>'FY21 Final Initial $$'!O77/'FY21 FTE'!O$120</f>
        <v>0</v>
      </c>
      <c r="P77" s="28">
        <f>'FY21 Final Initial $$'!P77/'FY21 FTE'!P$120</f>
        <v>0</v>
      </c>
      <c r="Q77" s="28">
        <f>'FY21 Final Initial $$'!Q77/'FY21 FTE'!Q$120</f>
        <v>0</v>
      </c>
      <c r="R77" s="28">
        <f>'FY21 Final Initial $$'!R77/'FY21 FTE'!R$120</f>
        <v>0</v>
      </c>
      <c r="S77" s="28">
        <f>'FY21 Final Initial $$'!S77/'FY21 FTE'!S$120</f>
        <v>1</v>
      </c>
      <c r="T77" s="28">
        <f>'FY21 Final Initial $$'!T77/'FY21 FTE'!T$120</f>
        <v>1</v>
      </c>
      <c r="U77" s="28">
        <f>'FY21 Final Initial $$'!U77/'FY21 FTE'!U$120</f>
        <v>2</v>
      </c>
      <c r="V77" s="28">
        <f>'FY21 Final Initial $$'!V77/'FY21 FTE'!V$120</f>
        <v>1</v>
      </c>
      <c r="W77" s="28">
        <f>'FY21 Final Initial $$'!W77/'FY21 FTE'!W$120</f>
        <v>1</v>
      </c>
      <c r="X77" s="28">
        <f>'FY21 Final Initial $$'!X77/'FY21 FTE'!X$120</f>
        <v>1</v>
      </c>
      <c r="Y77" s="28">
        <f>'FY21 Final Initial $$'!Y77/'FY21 FTE'!Y$120</f>
        <v>1</v>
      </c>
      <c r="Z77" s="28">
        <f>'FY21 Final Initial $$'!Z77/'FY21 FTE'!Z$120</f>
        <v>1.5</v>
      </c>
      <c r="AA77" s="28">
        <f>'FY21 Final Initial $$'!AA77/'FY21 FTE'!AA$120</f>
        <v>0</v>
      </c>
      <c r="AB77" s="28">
        <f>'FY21 Final Initial $$'!AB77/'FY21 FTE'!AB$120</f>
        <v>2</v>
      </c>
      <c r="AC77" s="28">
        <f>'FY21 Final Initial $$'!AC77/'FY21 FTE'!AC$120</f>
        <v>2</v>
      </c>
      <c r="AD77" s="28">
        <f>'FY21 Final Initial $$'!AD77/'FY21 FTE'!AD$120</f>
        <v>0</v>
      </c>
      <c r="AE77" s="28">
        <f>'FY21 Final Initial $$'!AE77/'FY21 FTE'!AE$120</f>
        <v>0</v>
      </c>
      <c r="AF77" s="28">
        <f>'FY21 Final Initial $$'!AF77/'FY21 FTE'!AF$120</f>
        <v>2</v>
      </c>
      <c r="AG77" s="28">
        <f>'FY21 Final Initial $$'!AG77/'FY21 FTE'!AG$120</f>
        <v>2</v>
      </c>
      <c r="AH77" s="28">
        <f>'FY21 Final Initial $$'!AH77/'FY21 FTE'!AH$120</f>
        <v>3</v>
      </c>
      <c r="AI77" s="28">
        <f>'FY21 Final Initial $$'!AI77/'FY21 FTE'!AI$120</f>
        <v>3</v>
      </c>
      <c r="AJ77" s="28">
        <f>'FY21 Final Initial $$'!AJ77/'FY21 FTE'!AJ$120</f>
        <v>3</v>
      </c>
      <c r="AK77" s="28">
        <f>'FY21 Final Initial $$'!AK77/'FY21 FTE'!AK$120</f>
        <v>3</v>
      </c>
      <c r="AL77" s="28">
        <f>'FY21 Final Initial $$'!AL77/'FY21 FTE'!AL$120</f>
        <v>3</v>
      </c>
      <c r="AM77" s="28">
        <f>'FY21 Final Initial $$'!AM77/'FY21 FTE'!AM$120</f>
        <v>2</v>
      </c>
      <c r="AN77" s="28">
        <f>'FY21 Final Initial $$'!AN77/'FY21 FTE'!AN$120</f>
        <v>3.000000000000004</v>
      </c>
      <c r="AO77" s="28">
        <f>'FY21 Final Initial $$'!AO77/'FY21 FTE'!AO$120</f>
        <v>0</v>
      </c>
      <c r="AP77" s="28">
        <f>'FY21 Final Initial $$'!AP77/'FY21 FTE'!AP$120</f>
        <v>0</v>
      </c>
      <c r="AQ77" s="28">
        <f>'FY21 Final Initial $$'!AQ77/'FY21 FTE'!AQ$120</f>
        <v>0</v>
      </c>
      <c r="AR77" s="28">
        <f>'FY21 Final Initial $$'!AR77/'FY21 FTE'!AR$120</f>
        <v>0</v>
      </c>
      <c r="AS77" s="28">
        <f>'FY21 Final Initial $$'!AS77/'FY21 FTE'!AS$120</f>
        <v>0</v>
      </c>
      <c r="AT77" s="28">
        <f>'FY21 Final Initial $$'!AT77/'FY21 FTE'!AT$120</f>
        <v>0</v>
      </c>
      <c r="AU77" s="28">
        <f>'FY21 Final Initial $$'!AU77/'FY21 FTE'!AU$120</f>
        <v>0</v>
      </c>
      <c r="AV77" s="28">
        <f>'FY21 Final Initial $$'!AV77/'FY21 FTE'!AV$120</f>
        <v>0</v>
      </c>
      <c r="AW77" s="28">
        <f>'FY21 Final Initial $$'!AW77/'FY21 FTE'!AW$120</f>
        <v>0</v>
      </c>
      <c r="AX77" s="28">
        <f>'FY21 Final Initial $$'!AX77/'FY21 FTE'!AX$120</f>
        <v>0</v>
      </c>
      <c r="AY77" s="28">
        <f>'FY21 Final Initial $$'!AY77/'FY21 FTE'!AY$120</f>
        <v>1</v>
      </c>
      <c r="AZ77" s="28">
        <f>'FY21 Final Initial $$'!AZ77/'FY21 FTE'!AZ$120</f>
        <v>1</v>
      </c>
      <c r="BA77" s="28">
        <f>'FY21 Final Initial $$'!BA77/'FY21 FTE'!BA$120</f>
        <v>9</v>
      </c>
      <c r="BB77" s="28">
        <f>'FY21 Final Initial $$'!BB77/'FY21 FTE'!BB$120</f>
        <v>9</v>
      </c>
      <c r="BC77" s="28">
        <f>'FY21 Final Initial $$'!BC77/'FY21 FTE'!BC$120</f>
        <v>0</v>
      </c>
      <c r="BD77" s="28">
        <f>'FY21 Final Initial $$'!BD77/'FY21 FTE'!BD$120</f>
        <v>0</v>
      </c>
      <c r="BE77" s="28">
        <f>'FY21 Final Initial $$'!BE77/'FY21 FTE'!BE$120</f>
        <v>4.5454545454545456E-2</v>
      </c>
      <c r="BF77" s="28">
        <f>'FY21 Final Initial $$'!BF77/'FY21 FTE'!BF$120</f>
        <v>0</v>
      </c>
      <c r="BG77" s="28">
        <f>'FY21 Final Initial $$'!BG77/'FY21 FTE'!BG$120</f>
        <v>0</v>
      </c>
      <c r="BH77" s="28">
        <f>'FY21 Final Initial $$'!BH77/'FY21 FTE'!BH$120</f>
        <v>5</v>
      </c>
      <c r="BI77" s="28">
        <f>'FY21 Final Initial $$'!BI77/'FY21 FTE'!BI$120</f>
        <v>5</v>
      </c>
      <c r="BJ77" s="28">
        <f>'FY21 Final Initial $$'!BJ77/'FY21 FTE'!BJ$120</f>
        <v>0</v>
      </c>
      <c r="BK77" s="20">
        <v>0</v>
      </c>
      <c r="BL77" s="20"/>
      <c r="BM77" s="20"/>
      <c r="BN77" s="20">
        <v>167912.89</v>
      </c>
      <c r="BO77" s="20">
        <v>2777.93</v>
      </c>
      <c r="BP77" s="20">
        <v>0</v>
      </c>
      <c r="BQ77" s="28">
        <f>'FY21 Final Initial $$'!BQ77/'FY21 FTE'!BQ$120</f>
        <v>0</v>
      </c>
      <c r="BR77" s="28">
        <f>'FY21 Final Initial $$'!BR77/'FY21 FTE'!BR$120</f>
        <v>0</v>
      </c>
      <c r="BS77" s="28">
        <f>'FY21 Final Initial $$'!BS77/'FY21 FTE'!BS$120</f>
        <v>0</v>
      </c>
      <c r="BT77" s="28">
        <f>'FY21 Final Initial $$'!BT77/'FY21 FTE'!BT$120</f>
        <v>0</v>
      </c>
      <c r="BU77" s="28">
        <f>'FY21 Final Initial $$'!BU77/'FY21 FTE'!BU$120</f>
        <v>1</v>
      </c>
      <c r="BV77" s="28">
        <f>'FY21 Final Initial $$'!BV77/'FY21 FTE'!BV$120</f>
        <v>0</v>
      </c>
      <c r="BW77" s="28">
        <f>'FY21 Final Initial $$'!BW77/'FY21 FTE'!BW$120</f>
        <v>0</v>
      </c>
      <c r="BX77" s="20">
        <v>0</v>
      </c>
      <c r="BY77" s="20">
        <v>0</v>
      </c>
      <c r="BZ77" s="20">
        <v>0</v>
      </c>
      <c r="CA77" s="20">
        <v>0</v>
      </c>
      <c r="CB77" s="28">
        <f>'FY21 Final Initial $$'!CB77/'FY21 FTE'!CB$120</f>
        <v>1</v>
      </c>
      <c r="CC77" s="28">
        <f>'FY21 Final Initial $$'!CC77/'FY21 FTE'!CC$120</f>
        <v>0</v>
      </c>
      <c r="CD77" s="20">
        <v>0</v>
      </c>
      <c r="CE77" s="28">
        <f>'FY21 Final Initial $$'!CE77/'FY21 FTE'!CE$120</f>
        <v>0</v>
      </c>
      <c r="CF77" s="28">
        <f>'FY21 Final Initial $$'!CF77/'FY21 FTE'!CF$120</f>
        <v>0</v>
      </c>
      <c r="CG77" s="28">
        <f>'FY21 Final Initial $$'!CG77/'FY21 FTE'!CG$120</f>
        <v>0</v>
      </c>
      <c r="CH77" s="28">
        <f>'FY21 Final Initial $$'!CH77/'FY21 FTE'!CH$120</f>
        <v>0</v>
      </c>
      <c r="CI77" s="28">
        <f>'FY21 Final Initial $$'!CI77/'FY21 FTE'!CI$120</f>
        <v>0</v>
      </c>
      <c r="CJ77" s="28">
        <f>'FY21 Final Initial $$'!CJ77/'FY21 FTE'!CJ$120</f>
        <v>0</v>
      </c>
      <c r="CK77" s="28">
        <f>'FY21 Final Initial $$'!CK77/'FY21 FTE'!CK$120</f>
        <v>0</v>
      </c>
      <c r="CL77" s="28">
        <f>'FY21 Final Initial $$'!CL77/'FY21 FTE'!CL$120</f>
        <v>0</v>
      </c>
      <c r="CM77" s="20">
        <v>0</v>
      </c>
      <c r="CN77" s="20">
        <v>0</v>
      </c>
      <c r="CO77" s="20">
        <v>111843.51999999999</v>
      </c>
      <c r="CP77" s="20">
        <v>0</v>
      </c>
      <c r="CQ77" s="28">
        <f>'FY21 Final Initial $$'!CQ77/'FY21 FTE'!CQ$120</f>
        <v>0</v>
      </c>
      <c r="CR77" s="20">
        <v>75000</v>
      </c>
      <c r="CS77" s="20">
        <v>13200</v>
      </c>
      <c r="CT77" s="20">
        <v>0</v>
      </c>
      <c r="CU77" s="20">
        <v>21312.072289156626</v>
      </c>
      <c r="CV77" s="28">
        <f>'FY21 Final Initial $$'!CV77/'FY21 FTE'!CV$120</f>
        <v>0</v>
      </c>
      <c r="CW77" s="28">
        <f>'FY21 Final Initial $$'!CW77/'FY21 FTE'!CW$120</f>
        <v>0</v>
      </c>
      <c r="CX77" s="20">
        <v>0</v>
      </c>
      <c r="CY77" s="28">
        <f>'FY21 Final Initial $$'!CY77/'FY21 FTE'!CY$120</f>
        <v>0</v>
      </c>
      <c r="CZ77" s="20">
        <v>0</v>
      </c>
      <c r="DA77" s="20">
        <v>0</v>
      </c>
      <c r="DB77" s="20">
        <v>38200</v>
      </c>
      <c r="DC77" s="20">
        <v>89194.079256276178</v>
      </c>
      <c r="DD77" s="20">
        <v>0</v>
      </c>
      <c r="DE77" s="20">
        <v>0</v>
      </c>
      <c r="DF77" s="20">
        <v>0</v>
      </c>
      <c r="DG77" s="20">
        <v>0</v>
      </c>
      <c r="DH77" s="28">
        <f>'FY21 Final Initial $$'!DH77/'FY21 FTE'!DH$120</f>
        <v>0</v>
      </c>
      <c r="DI77" s="20"/>
      <c r="DJ77" s="20">
        <v>27950.00001937151</v>
      </c>
      <c r="DK77" s="22">
        <v>0</v>
      </c>
      <c r="DL77" s="20">
        <v>0</v>
      </c>
      <c r="DM77" s="20">
        <v>0</v>
      </c>
      <c r="DN77" s="20">
        <v>6434477.955692498</v>
      </c>
      <c r="DO77" s="29">
        <f t="shared" si="6"/>
        <v>7</v>
      </c>
      <c r="DP77" s="29">
        <f t="shared" si="6"/>
        <v>7</v>
      </c>
      <c r="DQ77" s="29">
        <f t="shared" si="7"/>
        <v>14.000000000000004</v>
      </c>
      <c r="DR77" s="29">
        <f t="shared" si="8"/>
        <v>11.045454545454545</v>
      </c>
      <c r="DS77" s="29">
        <f t="shared" si="9"/>
        <v>9</v>
      </c>
    </row>
    <row r="78" spans="1:123" x14ac:dyDescent="0.25">
      <c r="A78" s="18">
        <v>295</v>
      </c>
      <c r="B78" t="s">
        <v>218</v>
      </c>
      <c r="C78" t="s">
        <v>135</v>
      </c>
      <c r="D78">
        <v>6</v>
      </c>
      <c r="E78">
        <v>334</v>
      </c>
      <c r="F78" s="19">
        <f t="shared" si="5"/>
        <v>0.55988023952095811</v>
      </c>
      <c r="G78">
        <v>187</v>
      </c>
      <c r="H78" s="28">
        <f>'FY21 Final Initial $$'!H78/'FY21 FTE'!H$120</f>
        <v>1</v>
      </c>
      <c r="I78" s="28">
        <f>'FY21 Final Initial $$'!I78/'FY21 FTE'!I$120</f>
        <v>1</v>
      </c>
      <c r="J78" s="28">
        <f>'FY21 Final Initial $$'!J78/'FY21 FTE'!J$120</f>
        <v>0.8</v>
      </c>
      <c r="K78" s="28">
        <f>'FY21 Final Initial $$'!K78/'FY21 FTE'!K$120</f>
        <v>0</v>
      </c>
      <c r="L78" s="28">
        <f>'FY21 Final Initial $$'!L78/'FY21 FTE'!L$120</f>
        <v>0</v>
      </c>
      <c r="M78" s="28">
        <f>'FY21 Final Initial $$'!M78/'FY21 FTE'!M$120</f>
        <v>1</v>
      </c>
      <c r="N78" s="28">
        <f>'FY21 Final Initial $$'!N78/'FY21 FTE'!N$120</f>
        <v>1</v>
      </c>
      <c r="O78" s="28">
        <f>'FY21 Final Initial $$'!O78/'FY21 FTE'!O$120</f>
        <v>0</v>
      </c>
      <c r="P78" s="28">
        <f>'FY21 Final Initial $$'!P78/'FY21 FTE'!P$120</f>
        <v>0</v>
      </c>
      <c r="Q78" s="28">
        <f>'FY21 Final Initial $$'!Q78/'FY21 FTE'!Q$120</f>
        <v>0</v>
      </c>
      <c r="R78" s="28">
        <f>'FY21 Final Initial $$'!R78/'FY21 FTE'!R$120</f>
        <v>0</v>
      </c>
      <c r="S78" s="28">
        <f>'FY21 Final Initial $$'!S78/'FY21 FTE'!S$120</f>
        <v>1</v>
      </c>
      <c r="T78" s="28">
        <f>'FY21 Final Initial $$'!T78/'FY21 FTE'!T$120</f>
        <v>1</v>
      </c>
      <c r="U78" s="28">
        <f>'FY21 Final Initial $$'!U78/'FY21 FTE'!U$120</f>
        <v>2</v>
      </c>
      <c r="V78" s="28">
        <f>'FY21 Final Initial $$'!V78/'FY21 FTE'!V$120</f>
        <v>1</v>
      </c>
      <c r="W78" s="28">
        <f>'FY21 Final Initial $$'!W78/'FY21 FTE'!W$120</f>
        <v>1</v>
      </c>
      <c r="X78" s="28">
        <f>'FY21 Final Initial $$'!X78/'FY21 FTE'!X$120</f>
        <v>1</v>
      </c>
      <c r="Y78" s="28">
        <f>'FY21 Final Initial $$'!Y78/'FY21 FTE'!Y$120</f>
        <v>1</v>
      </c>
      <c r="Z78" s="28">
        <f>'FY21 Final Initial $$'!Z78/'FY21 FTE'!Z$120</f>
        <v>0</v>
      </c>
      <c r="AA78" s="28">
        <f>'FY21 Final Initial $$'!AA78/'FY21 FTE'!AA$120</f>
        <v>0</v>
      </c>
      <c r="AB78" s="28">
        <f>'FY21 Final Initial $$'!AB78/'FY21 FTE'!AB$120</f>
        <v>3</v>
      </c>
      <c r="AC78" s="28">
        <f>'FY21 Final Initial $$'!AC78/'FY21 FTE'!AC$120</f>
        <v>3</v>
      </c>
      <c r="AD78" s="28">
        <f>'FY21 Final Initial $$'!AD78/'FY21 FTE'!AD$120</f>
        <v>0</v>
      </c>
      <c r="AE78" s="28">
        <f>'FY21 Final Initial $$'!AE78/'FY21 FTE'!AE$120</f>
        <v>0</v>
      </c>
      <c r="AF78" s="28">
        <f>'FY21 Final Initial $$'!AF78/'FY21 FTE'!AF$120</f>
        <v>2</v>
      </c>
      <c r="AG78" s="28">
        <f>'FY21 Final Initial $$'!AG78/'FY21 FTE'!AG$120</f>
        <v>2</v>
      </c>
      <c r="AH78" s="28">
        <f>'FY21 Final Initial $$'!AH78/'FY21 FTE'!AH$120</f>
        <v>2</v>
      </c>
      <c r="AI78" s="28">
        <f>'FY21 Final Initial $$'!AI78/'FY21 FTE'!AI$120</f>
        <v>2</v>
      </c>
      <c r="AJ78" s="28">
        <f>'FY21 Final Initial $$'!AJ78/'FY21 FTE'!AJ$120</f>
        <v>2</v>
      </c>
      <c r="AK78" s="28">
        <f>'FY21 Final Initial $$'!AK78/'FY21 FTE'!AK$120</f>
        <v>2</v>
      </c>
      <c r="AL78" s="28">
        <f>'FY21 Final Initial $$'!AL78/'FY21 FTE'!AL$120</f>
        <v>2</v>
      </c>
      <c r="AM78" s="28">
        <f>'FY21 Final Initial $$'!AM78/'FY21 FTE'!AM$120</f>
        <v>2</v>
      </c>
      <c r="AN78" s="28">
        <f>'FY21 Final Initial $$'!AN78/'FY21 FTE'!AN$120</f>
        <v>2.0000000000000027</v>
      </c>
      <c r="AO78" s="28">
        <f>'FY21 Final Initial $$'!AO78/'FY21 FTE'!AO$120</f>
        <v>0</v>
      </c>
      <c r="AP78" s="28">
        <f>'FY21 Final Initial $$'!AP78/'FY21 FTE'!AP$120</f>
        <v>0</v>
      </c>
      <c r="AQ78" s="28">
        <f>'FY21 Final Initial $$'!AQ78/'FY21 FTE'!AQ$120</f>
        <v>0</v>
      </c>
      <c r="AR78" s="28">
        <f>'FY21 Final Initial $$'!AR78/'FY21 FTE'!AR$120</f>
        <v>0</v>
      </c>
      <c r="AS78" s="28">
        <f>'FY21 Final Initial $$'!AS78/'FY21 FTE'!AS$120</f>
        <v>0</v>
      </c>
      <c r="AT78" s="28">
        <f>'FY21 Final Initial $$'!AT78/'FY21 FTE'!AT$120</f>
        <v>0</v>
      </c>
      <c r="AU78" s="28">
        <f>'FY21 Final Initial $$'!AU78/'FY21 FTE'!AU$120</f>
        <v>0</v>
      </c>
      <c r="AV78" s="28">
        <f>'FY21 Final Initial $$'!AV78/'FY21 FTE'!AV$120</f>
        <v>0</v>
      </c>
      <c r="AW78" s="28">
        <f>'FY21 Final Initial $$'!AW78/'FY21 FTE'!AW$120</f>
        <v>0</v>
      </c>
      <c r="AX78" s="28">
        <f>'FY21 Final Initial $$'!AX78/'FY21 FTE'!AX$120</f>
        <v>0</v>
      </c>
      <c r="AY78" s="28">
        <f>'FY21 Final Initial $$'!AY78/'FY21 FTE'!AY$120</f>
        <v>1</v>
      </c>
      <c r="AZ78" s="28">
        <f>'FY21 Final Initial $$'!AZ78/'FY21 FTE'!AZ$120</f>
        <v>2</v>
      </c>
      <c r="BA78" s="28">
        <f>'FY21 Final Initial $$'!BA78/'FY21 FTE'!BA$120</f>
        <v>8</v>
      </c>
      <c r="BB78" s="28">
        <f>'FY21 Final Initial $$'!BB78/'FY21 FTE'!BB$120</f>
        <v>5</v>
      </c>
      <c r="BC78" s="28">
        <f>'FY21 Final Initial $$'!BC78/'FY21 FTE'!BC$120</f>
        <v>2</v>
      </c>
      <c r="BD78" s="28">
        <f>'FY21 Final Initial $$'!BD78/'FY21 FTE'!BD$120</f>
        <v>0</v>
      </c>
      <c r="BE78" s="28">
        <f>'FY21 Final Initial $$'!BE78/'FY21 FTE'!BE$120</f>
        <v>0.45454545454545453</v>
      </c>
      <c r="BF78" s="28">
        <f>'FY21 Final Initial $$'!BF78/'FY21 FTE'!BF$120</f>
        <v>0</v>
      </c>
      <c r="BG78" s="28">
        <f>'FY21 Final Initial $$'!BG78/'FY21 FTE'!BG$120</f>
        <v>0</v>
      </c>
      <c r="BH78" s="28">
        <f>'FY21 Final Initial $$'!BH78/'FY21 FTE'!BH$120</f>
        <v>6</v>
      </c>
      <c r="BI78" s="28">
        <f>'FY21 Final Initial $$'!BI78/'FY21 FTE'!BI$120</f>
        <v>6</v>
      </c>
      <c r="BJ78" s="28">
        <f>'FY21 Final Initial $$'!BJ78/'FY21 FTE'!BJ$120</f>
        <v>0</v>
      </c>
      <c r="BK78" s="20">
        <v>0</v>
      </c>
      <c r="BL78" s="20"/>
      <c r="BM78" s="20"/>
      <c r="BN78" s="20">
        <v>136802.13</v>
      </c>
      <c r="BO78" s="20">
        <v>2263.2399999999998</v>
      </c>
      <c r="BP78" s="20">
        <v>0</v>
      </c>
      <c r="BQ78" s="28">
        <f>'FY21 Final Initial $$'!BQ78/'FY21 FTE'!BQ$120</f>
        <v>0</v>
      </c>
      <c r="BR78" s="28">
        <f>'FY21 Final Initial $$'!BR78/'FY21 FTE'!BR$120</f>
        <v>0</v>
      </c>
      <c r="BS78" s="28">
        <f>'FY21 Final Initial $$'!BS78/'FY21 FTE'!BS$120</f>
        <v>0</v>
      </c>
      <c r="BT78" s="28">
        <f>'FY21 Final Initial $$'!BT78/'FY21 FTE'!BT$120</f>
        <v>0</v>
      </c>
      <c r="BU78" s="28">
        <f>'FY21 Final Initial $$'!BU78/'FY21 FTE'!BU$120</f>
        <v>0</v>
      </c>
      <c r="BV78" s="28">
        <f>'FY21 Final Initial $$'!BV78/'FY21 FTE'!BV$120</f>
        <v>0</v>
      </c>
      <c r="BW78" s="28">
        <f>'FY21 Final Initial $$'!BW78/'FY21 FTE'!BW$120</f>
        <v>0</v>
      </c>
      <c r="BX78" s="20">
        <v>0</v>
      </c>
      <c r="BY78" s="20">
        <v>0</v>
      </c>
      <c r="BZ78" s="20">
        <v>0</v>
      </c>
      <c r="CA78" s="20">
        <v>0</v>
      </c>
      <c r="CB78" s="28">
        <f>'FY21 Final Initial $$'!CB78/'FY21 FTE'!CB$120</f>
        <v>0</v>
      </c>
      <c r="CC78" s="28">
        <f>'FY21 Final Initial $$'!CC78/'FY21 FTE'!CC$120</f>
        <v>0</v>
      </c>
      <c r="CD78" s="20">
        <v>0</v>
      </c>
      <c r="CE78" s="28">
        <f>'FY21 Final Initial $$'!CE78/'FY21 FTE'!CE$120</f>
        <v>0</v>
      </c>
      <c r="CF78" s="28">
        <f>'FY21 Final Initial $$'!CF78/'FY21 FTE'!CF$120</f>
        <v>0</v>
      </c>
      <c r="CG78" s="28">
        <f>'FY21 Final Initial $$'!CG78/'FY21 FTE'!CG$120</f>
        <v>0</v>
      </c>
      <c r="CH78" s="28">
        <f>'FY21 Final Initial $$'!CH78/'FY21 FTE'!CH$120</f>
        <v>0</v>
      </c>
      <c r="CI78" s="28">
        <f>'FY21 Final Initial $$'!CI78/'FY21 FTE'!CI$120</f>
        <v>0</v>
      </c>
      <c r="CJ78" s="28">
        <f>'FY21 Final Initial $$'!CJ78/'FY21 FTE'!CJ$120</f>
        <v>0</v>
      </c>
      <c r="CK78" s="28">
        <f>'FY21 Final Initial $$'!CK78/'FY21 FTE'!CK$120</f>
        <v>0</v>
      </c>
      <c r="CL78" s="28">
        <f>'FY21 Final Initial $$'!CL78/'FY21 FTE'!CL$120</f>
        <v>0</v>
      </c>
      <c r="CM78" s="20">
        <v>0</v>
      </c>
      <c r="CN78" s="20">
        <v>0</v>
      </c>
      <c r="CO78" s="20">
        <v>55921.759999999995</v>
      </c>
      <c r="CP78" s="20">
        <v>0</v>
      </c>
      <c r="CQ78" s="28">
        <f>'FY21 Final Initial $$'!CQ78/'FY21 FTE'!CQ$120</f>
        <v>0</v>
      </c>
      <c r="CR78" s="20">
        <v>0</v>
      </c>
      <c r="CS78" s="20">
        <v>3740</v>
      </c>
      <c r="CT78" s="20">
        <v>0</v>
      </c>
      <c r="CU78" s="20">
        <v>20338.436781609194</v>
      </c>
      <c r="CV78" s="28">
        <f>'FY21 Final Initial $$'!CV78/'FY21 FTE'!CV$120</f>
        <v>0</v>
      </c>
      <c r="CW78" s="28">
        <f>'FY21 Final Initial $$'!CW78/'FY21 FTE'!CW$120</f>
        <v>0</v>
      </c>
      <c r="CX78" s="20">
        <v>0</v>
      </c>
      <c r="CY78" s="28">
        <f>'FY21 Final Initial $$'!CY78/'FY21 FTE'!CY$120</f>
        <v>0</v>
      </c>
      <c r="CZ78" s="20">
        <v>0</v>
      </c>
      <c r="DA78" s="20">
        <v>0</v>
      </c>
      <c r="DB78" s="20">
        <v>33400</v>
      </c>
      <c r="DC78" s="20">
        <v>79017.122977347055</v>
      </c>
      <c r="DD78" s="20">
        <v>0</v>
      </c>
      <c r="DE78" s="20">
        <v>0</v>
      </c>
      <c r="DF78" s="20">
        <v>0</v>
      </c>
      <c r="DG78" s="20">
        <v>0</v>
      </c>
      <c r="DH78" s="28">
        <f>'FY21 Final Initial $$'!DH78/'FY21 FTE'!DH$120</f>
        <v>0</v>
      </c>
      <c r="DI78" s="20"/>
      <c r="DJ78" s="20">
        <v>10575.000167638063</v>
      </c>
      <c r="DK78" s="22">
        <v>0</v>
      </c>
      <c r="DL78" s="20">
        <v>0</v>
      </c>
      <c r="DM78" s="20">
        <v>0</v>
      </c>
      <c r="DN78" s="20">
        <v>5403893.5270288959</v>
      </c>
      <c r="DO78" s="29">
        <f t="shared" si="6"/>
        <v>7</v>
      </c>
      <c r="DP78" s="29">
        <f t="shared" si="6"/>
        <v>7</v>
      </c>
      <c r="DQ78" s="29">
        <f t="shared" si="7"/>
        <v>10.000000000000004</v>
      </c>
      <c r="DR78" s="29">
        <f t="shared" si="8"/>
        <v>11.454545454545455</v>
      </c>
      <c r="DS78" s="29">
        <f t="shared" si="9"/>
        <v>5</v>
      </c>
    </row>
    <row r="79" spans="1:123" x14ac:dyDescent="0.25">
      <c r="A79" s="18">
        <v>301</v>
      </c>
      <c r="B79" t="s">
        <v>219</v>
      </c>
      <c r="C79" t="s">
        <v>135</v>
      </c>
      <c r="D79">
        <v>6</v>
      </c>
      <c r="E79">
        <v>221</v>
      </c>
      <c r="F79" s="19">
        <f t="shared" si="5"/>
        <v>9.9547511312217188E-2</v>
      </c>
      <c r="G79">
        <v>22</v>
      </c>
      <c r="H79" s="28">
        <f>'FY21 Final Initial $$'!H79/'FY21 FTE'!H$120</f>
        <v>0</v>
      </c>
      <c r="I79" s="28">
        <f>'FY21 Final Initial $$'!I79/'FY21 FTE'!I$120</f>
        <v>1</v>
      </c>
      <c r="J79" s="28">
        <f>'FY21 Final Initial $$'!J79/'FY21 FTE'!J$120</f>
        <v>1</v>
      </c>
      <c r="K79" s="28">
        <f>'FY21 Final Initial $$'!K79/'FY21 FTE'!K$120</f>
        <v>0</v>
      </c>
      <c r="L79" s="28">
        <f>'FY21 Final Initial $$'!L79/'FY21 FTE'!L$120</f>
        <v>0</v>
      </c>
      <c r="M79" s="28">
        <f>'FY21 Final Initial $$'!M79/'FY21 FTE'!M$120</f>
        <v>0.5</v>
      </c>
      <c r="N79" s="28">
        <f>'FY21 Final Initial $$'!N79/'FY21 FTE'!N$120</f>
        <v>1</v>
      </c>
      <c r="O79" s="28">
        <f>'FY21 Final Initial $$'!O79/'FY21 FTE'!O$120</f>
        <v>0</v>
      </c>
      <c r="P79" s="28">
        <f>'FY21 Final Initial $$'!P79/'FY21 FTE'!P$120</f>
        <v>0</v>
      </c>
      <c r="Q79" s="28">
        <f>'FY21 Final Initial $$'!Q79/'FY21 FTE'!Q$120</f>
        <v>0</v>
      </c>
      <c r="R79" s="28">
        <f>'FY21 Final Initial $$'!R79/'FY21 FTE'!R$120</f>
        <v>0</v>
      </c>
      <c r="S79" s="28">
        <f>'FY21 Final Initial $$'!S79/'FY21 FTE'!S$120</f>
        <v>1</v>
      </c>
      <c r="T79" s="28">
        <f>'FY21 Final Initial $$'!T79/'FY21 FTE'!T$120</f>
        <v>1</v>
      </c>
      <c r="U79" s="28">
        <f>'FY21 Final Initial $$'!U79/'FY21 FTE'!U$120</f>
        <v>1</v>
      </c>
      <c r="V79" s="28">
        <f>'FY21 Final Initial $$'!V79/'FY21 FTE'!V$120</f>
        <v>0.5</v>
      </c>
      <c r="W79" s="28">
        <f>'FY21 Final Initial $$'!W79/'FY21 FTE'!W$120</f>
        <v>1</v>
      </c>
      <c r="X79" s="28">
        <f>'FY21 Final Initial $$'!X79/'FY21 FTE'!X$120</f>
        <v>1</v>
      </c>
      <c r="Y79" s="28">
        <f>'FY21 Final Initial $$'!Y79/'FY21 FTE'!Y$120</f>
        <v>1</v>
      </c>
      <c r="Z79" s="28">
        <f>'FY21 Final Initial $$'!Z79/'FY21 FTE'!Z$120</f>
        <v>0</v>
      </c>
      <c r="AA79" s="28">
        <f>'FY21 Final Initial $$'!AA79/'FY21 FTE'!AA$120</f>
        <v>0</v>
      </c>
      <c r="AB79" s="28">
        <f>'FY21 Final Initial $$'!AB79/'FY21 FTE'!AB$120</f>
        <v>4</v>
      </c>
      <c r="AC79" s="28">
        <f>'FY21 Final Initial $$'!AC79/'FY21 FTE'!AC$120</f>
        <v>4</v>
      </c>
      <c r="AD79" s="28">
        <f>'FY21 Final Initial $$'!AD79/'FY21 FTE'!AD$120</f>
        <v>0</v>
      </c>
      <c r="AE79" s="28">
        <f>'FY21 Final Initial $$'!AE79/'FY21 FTE'!AE$120</f>
        <v>0</v>
      </c>
      <c r="AF79" s="28">
        <f>'FY21 Final Initial $$'!AF79/'FY21 FTE'!AF$120</f>
        <v>4</v>
      </c>
      <c r="AG79" s="28">
        <f>'FY21 Final Initial $$'!AG79/'FY21 FTE'!AG$120</f>
        <v>4</v>
      </c>
      <c r="AH79" s="28">
        <f>'FY21 Final Initial $$'!AH79/'FY21 FTE'!AH$120</f>
        <v>4</v>
      </c>
      <c r="AI79" s="28">
        <f>'FY21 Final Initial $$'!AI79/'FY21 FTE'!AI$120</f>
        <v>4</v>
      </c>
      <c r="AJ79" s="28">
        <f>'FY21 Final Initial $$'!AJ79/'FY21 FTE'!AJ$120</f>
        <v>0</v>
      </c>
      <c r="AK79" s="28">
        <f>'FY21 Final Initial $$'!AK79/'FY21 FTE'!AK$120</f>
        <v>0</v>
      </c>
      <c r="AL79" s="28">
        <f>'FY21 Final Initial $$'!AL79/'FY21 FTE'!AL$120</f>
        <v>0</v>
      </c>
      <c r="AM79" s="28">
        <f>'FY21 Final Initial $$'!AM79/'FY21 FTE'!AM$120</f>
        <v>0</v>
      </c>
      <c r="AN79" s="28">
        <f>'FY21 Final Initial $$'!AN79/'FY21 FTE'!AN$120</f>
        <v>0</v>
      </c>
      <c r="AO79" s="28">
        <f>'FY21 Final Initial $$'!AO79/'FY21 FTE'!AO$120</f>
        <v>0</v>
      </c>
      <c r="AP79" s="28">
        <f>'FY21 Final Initial $$'!AP79/'FY21 FTE'!AP$120</f>
        <v>0</v>
      </c>
      <c r="AQ79" s="28">
        <f>'FY21 Final Initial $$'!AQ79/'FY21 FTE'!AQ$120</f>
        <v>0</v>
      </c>
      <c r="AR79" s="28">
        <f>'FY21 Final Initial $$'!AR79/'FY21 FTE'!AR$120</f>
        <v>0</v>
      </c>
      <c r="AS79" s="28">
        <f>'FY21 Final Initial $$'!AS79/'FY21 FTE'!AS$120</f>
        <v>0</v>
      </c>
      <c r="AT79" s="28">
        <f>'FY21 Final Initial $$'!AT79/'FY21 FTE'!AT$120</f>
        <v>0</v>
      </c>
      <c r="AU79" s="28">
        <f>'FY21 Final Initial $$'!AU79/'FY21 FTE'!AU$120</f>
        <v>0</v>
      </c>
      <c r="AV79" s="28">
        <f>'FY21 Final Initial $$'!AV79/'FY21 FTE'!AV$120</f>
        <v>0</v>
      </c>
      <c r="AW79" s="28">
        <f>'FY21 Final Initial $$'!AW79/'FY21 FTE'!AW$120</f>
        <v>0</v>
      </c>
      <c r="AX79" s="28">
        <f>'FY21 Final Initial $$'!AX79/'FY21 FTE'!AX$120</f>
        <v>0</v>
      </c>
      <c r="AY79" s="28">
        <f>'FY21 Final Initial $$'!AY79/'FY21 FTE'!AY$120</f>
        <v>0.5</v>
      </c>
      <c r="AZ79" s="28">
        <f>'FY21 Final Initial $$'!AZ79/'FY21 FTE'!AZ$120</f>
        <v>0</v>
      </c>
      <c r="BA79" s="28">
        <f>'FY21 Final Initial $$'!BA79/'FY21 FTE'!BA$120</f>
        <v>1</v>
      </c>
      <c r="BB79" s="28">
        <f>'FY21 Final Initial $$'!BB79/'FY21 FTE'!BB$120</f>
        <v>0</v>
      </c>
      <c r="BC79" s="28">
        <f>'FY21 Final Initial $$'!BC79/'FY21 FTE'!BC$120</f>
        <v>0</v>
      </c>
      <c r="BD79" s="28">
        <f>'FY21 Final Initial $$'!BD79/'FY21 FTE'!BD$120</f>
        <v>0</v>
      </c>
      <c r="BE79" s="28">
        <f>'FY21 Final Initial $$'!BE79/'FY21 FTE'!BE$120</f>
        <v>4.5454545454545456E-2</v>
      </c>
      <c r="BF79" s="28">
        <f>'FY21 Final Initial $$'!BF79/'FY21 FTE'!BF$120</f>
        <v>0</v>
      </c>
      <c r="BG79" s="28">
        <f>'FY21 Final Initial $$'!BG79/'FY21 FTE'!BG$120</f>
        <v>0</v>
      </c>
      <c r="BH79" s="28">
        <f>'FY21 Final Initial $$'!BH79/'FY21 FTE'!BH$120</f>
        <v>0</v>
      </c>
      <c r="BI79" s="28">
        <f>'FY21 Final Initial $$'!BI79/'FY21 FTE'!BI$120</f>
        <v>0</v>
      </c>
      <c r="BJ79" s="28">
        <f>'FY21 Final Initial $$'!BJ79/'FY21 FTE'!BJ$120</f>
        <v>0</v>
      </c>
      <c r="BK79" s="20">
        <v>0</v>
      </c>
      <c r="BL79" s="20"/>
      <c r="BM79" s="20"/>
      <c r="BN79" s="20">
        <v>0</v>
      </c>
      <c r="BO79" s="20">
        <v>0</v>
      </c>
      <c r="BP79" s="20">
        <v>5550</v>
      </c>
      <c r="BQ79" s="28">
        <f>'FY21 Final Initial $$'!BQ79/'FY21 FTE'!BQ$120</f>
        <v>0</v>
      </c>
      <c r="BR79" s="28">
        <f>'FY21 Final Initial $$'!BR79/'FY21 FTE'!BR$120</f>
        <v>0</v>
      </c>
      <c r="BS79" s="28">
        <f>'FY21 Final Initial $$'!BS79/'FY21 FTE'!BS$120</f>
        <v>0</v>
      </c>
      <c r="BT79" s="28">
        <f>'FY21 Final Initial $$'!BT79/'FY21 FTE'!BT$120</f>
        <v>0</v>
      </c>
      <c r="BU79" s="28">
        <f>'FY21 Final Initial $$'!BU79/'FY21 FTE'!BU$120</f>
        <v>0</v>
      </c>
      <c r="BV79" s="28">
        <f>'FY21 Final Initial $$'!BV79/'FY21 FTE'!BV$120</f>
        <v>0</v>
      </c>
      <c r="BW79" s="28">
        <f>'FY21 Final Initial $$'!BW79/'FY21 FTE'!BW$120</f>
        <v>0</v>
      </c>
      <c r="BX79" s="20">
        <v>0</v>
      </c>
      <c r="BY79" s="20">
        <v>0</v>
      </c>
      <c r="BZ79" s="20">
        <v>0</v>
      </c>
      <c r="CA79" s="20">
        <v>0</v>
      </c>
      <c r="CB79" s="28">
        <f>'FY21 Final Initial $$'!CB79/'FY21 FTE'!CB$120</f>
        <v>0</v>
      </c>
      <c r="CC79" s="28">
        <f>'FY21 Final Initial $$'!CC79/'FY21 FTE'!CC$120</f>
        <v>0</v>
      </c>
      <c r="CD79" s="20">
        <v>0</v>
      </c>
      <c r="CE79" s="28">
        <f>'FY21 Final Initial $$'!CE79/'FY21 FTE'!CE$120</f>
        <v>0</v>
      </c>
      <c r="CF79" s="28">
        <f>'FY21 Final Initial $$'!CF79/'FY21 FTE'!CF$120</f>
        <v>0</v>
      </c>
      <c r="CG79" s="28">
        <f>'FY21 Final Initial $$'!CG79/'FY21 FTE'!CG$120</f>
        <v>0</v>
      </c>
      <c r="CH79" s="28">
        <f>'FY21 Final Initial $$'!CH79/'FY21 FTE'!CH$120</f>
        <v>0</v>
      </c>
      <c r="CI79" s="28">
        <f>'FY21 Final Initial $$'!CI79/'FY21 FTE'!CI$120</f>
        <v>0</v>
      </c>
      <c r="CJ79" s="28">
        <f>'FY21 Final Initial $$'!CJ79/'FY21 FTE'!CJ$120</f>
        <v>0</v>
      </c>
      <c r="CK79" s="28">
        <f>'FY21 Final Initial $$'!CK79/'FY21 FTE'!CK$120</f>
        <v>0</v>
      </c>
      <c r="CL79" s="28">
        <f>'FY21 Final Initial $$'!CL79/'FY21 FTE'!CL$120</f>
        <v>0</v>
      </c>
      <c r="CM79" s="20">
        <v>0</v>
      </c>
      <c r="CN79" s="20">
        <v>0</v>
      </c>
      <c r="CO79" s="20">
        <v>55921.759999999995</v>
      </c>
      <c r="CP79" s="20">
        <v>0</v>
      </c>
      <c r="CQ79" s="28">
        <f>'FY21 Final Initial $$'!CQ79/'FY21 FTE'!CQ$120</f>
        <v>0</v>
      </c>
      <c r="CR79" s="20">
        <v>0</v>
      </c>
      <c r="CS79" s="20">
        <v>0</v>
      </c>
      <c r="CT79" s="20">
        <v>0</v>
      </c>
      <c r="CU79" s="20">
        <v>13367.875</v>
      </c>
      <c r="CV79" s="28">
        <f>'FY21 Final Initial $$'!CV79/'FY21 FTE'!CV$120</f>
        <v>0</v>
      </c>
      <c r="CW79" s="28">
        <f>'FY21 Final Initial $$'!CW79/'FY21 FTE'!CW$120</f>
        <v>0</v>
      </c>
      <c r="CX79" s="20">
        <v>0</v>
      </c>
      <c r="CY79" s="28">
        <f>'FY21 Final Initial $$'!CY79/'FY21 FTE'!CY$120</f>
        <v>0</v>
      </c>
      <c r="CZ79" s="20">
        <v>0</v>
      </c>
      <c r="DA79" s="20">
        <v>0</v>
      </c>
      <c r="DB79" s="20">
        <v>22100</v>
      </c>
      <c r="DC79" s="20">
        <v>45845.871281861058</v>
      </c>
      <c r="DD79" s="20">
        <v>0</v>
      </c>
      <c r="DE79" s="20">
        <v>0</v>
      </c>
      <c r="DF79" s="20">
        <v>0</v>
      </c>
      <c r="DG79" s="20">
        <v>0</v>
      </c>
      <c r="DH79" s="28">
        <f>'FY21 Final Initial $$'!DH79/'FY21 FTE'!DH$120</f>
        <v>0</v>
      </c>
      <c r="DI79" s="20"/>
      <c r="DJ79" s="20">
        <v>2544</v>
      </c>
      <c r="DK79" s="22">
        <v>0</v>
      </c>
      <c r="DL79" s="20">
        <v>0</v>
      </c>
      <c r="DM79" s="20">
        <v>0</v>
      </c>
      <c r="DN79" s="20">
        <v>2992899.1511179511</v>
      </c>
      <c r="DO79" s="29">
        <f t="shared" si="6"/>
        <v>12</v>
      </c>
      <c r="DP79" s="29">
        <f t="shared" si="6"/>
        <v>12</v>
      </c>
      <c r="DQ79" s="29">
        <f t="shared" si="7"/>
        <v>0</v>
      </c>
      <c r="DR79" s="29">
        <f t="shared" si="8"/>
        <v>1.5454545454545454</v>
      </c>
      <c r="DS79" s="29">
        <f t="shared" si="9"/>
        <v>0</v>
      </c>
    </row>
    <row r="80" spans="1:123" x14ac:dyDescent="0.25">
      <c r="A80" s="18">
        <v>478</v>
      </c>
      <c r="B80" t="s">
        <v>220</v>
      </c>
      <c r="C80" t="s">
        <v>138</v>
      </c>
      <c r="D80">
        <v>5</v>
      </c>
      <c r="E80">
        <v>272</v>
      </c>
      <c r="F80" s="19">
        <f t="shared" si="5"/>
        <v>0.66176470588235292</v>
      </c>
      <c r="G80">
        <v>180</v>
      </c>
      <c r="H80" s="28">
        <f>'FY21 Final Initial $$'!H80/'FY21 FTE'!H$120</f>
        <v>1</v>
      </c>
      <c r="I80" s="28">
        <f>'FY21 Final Initial $$'!I80/'FY21 FTE'!I$120</f>
        <v>1</v>
      </c>
      <c r="J80" s="28">
        <f>'FY21 Final Initial $$'!J80/'FY21 FTE'!J$120</f>
        <v>0.89999999999999991</v>
      </c>
      <c r="K80" s="28">
        <f>'FY21 Final Initial $$'!K80/'FY21 FTE'!K$120</f>
        <v>0</v>
      </c>
      <c r="L80" s="28">
        <f>'FY21 Final Initial $$'!L80/'FY21 FTE'!L$120</f>
        <v>1.5000000000000002</v>
      </c>
      <c r="M80" s="28">
        <f>'FY21 Final Initial $$'!M80/'FY21 FTE'!M$120</f>
        <v>0.5</v>
      </c>
      <c r="N80" s="28">
        <f>'FY21 Final Initial $$'!N80/'FY21 FTE'!N$120</f>
        <v>1</v>
      </c>
      <c r="O80" s="28">
        <f>'FY21 Final Initial $$'!O80/'FY21 FTE'!O$120</f>
        <v>0</v>
      </c>
      <c r="P80" s="28">
        <f>'FY21 Final Initial $$'!P80/'FY21 FTE'!P$120</f>
        <v>1</v>
      </c>
      <c r="Q80" s="28">
        <f>'FY21 Final Initial $$'!Q80/'FY21 FTE'!Q$120</f>
        <v>1.0000004487061702</v>
      </c>
      <c r="R80" s="28">
        <f>'FY21 Final Initial $$'!R80/'FY21 FTE'!R$120</f>
        <v>0</v>
      </c>
      <c r="S80" s="28">
        <f>'FY21 Final Initial $$'!S80/'FY21 FTE'!S$120</f>
        <v>1</v>
      </c>
      <c r="T80" s="28">
        <f>'FY21 Final Initial $$'!T80/'FY21 FTE'!T$120</f>
        <v>1</v>
      </c>
      <c r="U80" s="28">
        <f>'FY21 Final Initial $$'!U80/'FY21 FTE'!U$120</f>
        <v>3</v>
      </c>
      <c r="V80" s="28">
        <f>'FY21 Final Initial $$'!V80/'FY21 FTE'!V$120</f>
        <v>0.5</v>
      </c>
      <c r="W80" s="28">
        <f>'FY21 Final Initial $$'!W80/'FY21 FTE'!W$120</f>
        <v>0</v>
      </c>
      <c r="X80" s="28">
        <f>'FY21 Final Initial $$'!X80/'FY21 FTE'!X$120</f>
        <v>0</v>
      </c>
      <c r="Y80" s="28">
        <f>'FY21 Final Initial $$'!Y80/'FY21 FTE'!Y$120</f>
        <v>0</v>
      </c>
      <c r="Z80" s="28">
        <f>'FY21 Final Initial $$'!Z80/'FY21 FTE'!Z$120</f>
        <v>0</v>
      </c>
      <c r="AA80" s="28">
        <f>'FY21 Final Initial $$'!AA80/'FY21 FTE'!AA$120</f>
        <v>0</v>
      </c>
      <c r="AB80" s="28">
        <f>'FY21 Final Initial $$'!AB80/'FY21 FTE'!AB$120</f>
        <v>0</v>
      </c>
      <c r="AC80" s="28">
        <f>'FY21 Final Initial $$'!AC80/'FY21 FTE'!AC$120</f>
        <v>0</v>
      </c>
      <c r="AD80" s="28">
        <f>'FY21 Final Initial $$'!AD80/'FY21 FTE'!AD$120</f>
        <v>0</v>
      </c>
      <c r="AE80" s="28">
        <f>'FY21 Final Initial $$'!AE80/'FY21 FTE'!AE$120</f>
        <v>0</v>
      </c>
      <c r="AF80" s="28">
        <f>'FY21 Final Initial $$'!AF80/'FY21 FTE'!AF$120</f>
        <v>0</v>
      </c>
      <c r="AG80" s="28">
        <f>'FY21 Final Initial $$'!AG80/'FY21 FTE'!AG$120</f>
        <v>0</v>
      </c>
      <c r="AH80" s="28">
        <f>'FY21 Final Initial $$'!AH80/'FY21 FTE'!AH$120</f>
        <v>0</v>
      </c>
      <c r="AI80" s="28">
        <f>'FY21 Final Initial $$'!AI80/'FY21 FTE'!AI$120</f>
        <v>0</v>
      </c>
      <c r="AJ80" s="28">
        <f>'FY21 Final Initial $$'!AJ80/'FY21 FTE'!AJ$120</f>
        <v>0</v>
      </c>
      <c r="AK80" s="28">
        <f>'FY21 Final Initial $$'!AK80/'FY21 FTE'!AK$120</f>
        <v>0</v>
      </c>
      <c r="AL80" s="28">
        <f>'FY21 Final Initial $$'!AL80/'FY21 FTE'!AL$120</f>
        <v>0</v>
      </c>
      <c r="AM80" s="28">
        <f>'FY21 Final Initial $$'!AM80/'FY21 FTE'!AM$120</f>
        <v>0</v>
      </c>
      <c r="AN80" s="28">
        <f>'FY21 Final Initial $$'!AN80/'FY21 FTE'!AN$120</f>
        <v>0</v>
      </c>
      <c r="AO80" s="28">
        <f>'FY21 Final Initial $$'!AO80/'FY21 FTE'!AO$120</f>
        <v>0</v>
      </c>
      <c r="AP80" s="28">
        <f>'FY21 Final Initial $$'!AP80/'FY21 FTE'!AP$120</f>
        <v>0</v>
      </c>
      <c r="AQ80" s="28">
        <f>'FY21 Final Initial $$'!AQ80/'FY21 FTE'!AQ$120</f>
        <v>0</v>
      </c>
      <c r="AR80" s="28">
        <f>'FY21 Final Initial $$'!AR80/'FY21 FTE'!AR$120</f>
        <v>5.7</v>
      </c>
      <c r="AS80" s="28">
        <f>'FY21 Final Initial $$'!AS80/'FY21 FTE'!AS$120</f>
        <v>4.2</v>
      </c>
      <c r="AT80" s="28">
        <f>'FY21 Final Initial $$'!AT80/'FY21 FTE'!AT$120</f>
        <v>2.6</v>
      </c>
      <c r="AU80" s="28">
        <f>'FY21 Final Initial $$'!AU80/'FY21 FTE'!AU$120</f>
        <v>2.7</v>
      </c>
      <c r="AV80" s="28">
        <f>'FY21 Final Initial $$'!AV80/'FY21 FTE'!AV$120</f>
        <v>0</v>
      </c>
      <c r="AW80" s="28">
        <f>'FY21 Final Initial $$'!AW80/'FY21 FTE'!AW$120</f>
        <v>0</v>
      </c>
      <c r="AX80" s="28">
        <f>'FY21 Final Initial $$'!AX80/'FY21 FTE'!AX$120</f>
        <v>0</v>
      </c>
      <c r="AY80" s="28">
        <f>'FY21 Final Initial $$'!AY80/'FY21 FTE'!AY$120</f>
        <v>1</v>
      </c>
      <c r="AZ80" s="28">
        <f>'FY21 Final Initial $$'!AZ80/'FY21 FTE'!AZ$120</f>
        <v>1</v>
      </c>
      <c r="BA80" s="28">
        <f>'FY21 Final Initial $$'!BA80/'FY21 FTE'!BA$120</f>
        <v>4</v>
      </c>
      <c r="BB80" s="28">
        <f>'FY21 Final Initial $$'!BB80/'FY21 FTE'!BB$120</f>
        <v>0</v>
      </c>
      <c r="BC80" s="28">
        <f>'FY21 Final Initial $$'!BC80/'FY21 FTE'!BC$120</f>
        <v>0</v>
      </c>
      <c r="BD80" s="28">
        <f>'FY21 Final Initial $$'!BD80/'FY21 FTE'!BD$120</f>
        <v>0</v>
      </c>
      <c r="BE80" s="28">
        <f>'FY21 Final Initial $$'!BE80/'FY21 FTE'!BE$120</f>
        <v>1</v>
      </c>
      <c r="BF80" s="28">
        <f>'FY21 Final Initial $$'!BF80/'FY21 FTE'!BF$120</f>
        <v>0</v>
      </c>
      <c r="BG80" s="28">
        <f>'FY21 Final Initial $$'!BG80/'FY21 FTE'!BG$120</f>
        <v>0</v>
      </c>
      <c r="BH80" s="28">
        <f>'FY21 Final Initial $$'!BH80/'FY21 FTE'!BH$120</f>
        <v>0</v>
      </c>
      <c r="BI80" s="28">
        <f>'FY21 Final Initial $$'!BI80/'FY21 FTE'!BI$120</f>
        <v>0</v>
      </c>
      <c r="BJ80" s="28">
        <f>'FY21 Final Initial $$'!BJ80/'FY21 FTE'!BJ$120</f>
        <v>0</v>
      </c>
      <c r="BK80" s="20">
        <v>40000</v>
      </c>
      <c r="BL80" s="20"/>
      <c r="BM80" s="20"/>
      <c r="BN80" s="20">
        <v>109526.94</v>
      </c>
      <c r="BO80" s="20">
        <v>1812</v>
      </c>
      <c r="BP80" s="20">
        <v>0</v>
      </c>
      <c r="BQ80" s="28">
        <f>'FY21 Final Initial $$'!BQ80/'FY21 FTE'!BQ$120</f>
        <v>0</v>
      </c>
      <c r="BR80" s="28">
        <f>'FY21 Final Initial $$'!BR80/'FY21 FTE'!BR$120</f>
        <v>0</v>
      </c>
      <c r="BS80" s="28">
        <f>'FY21 Final Initial $$'!BS80/'FY21 FTE'!BS$120</f>
        <v>0</v>
      </c>
      <c r="BT80" s="28">
        <f>'FY21 Final Initial $$'!BT80/'FY21 FTE'!BT$120</f>
        <v>0</v>
      </c>
      <c r="BU80" s="28">
        <f>'FY21 Final Initial $$'!BU80/'FY21 FTE'!BU$120</f>
        <v>0</v>
      </c>
      <c r="BV80" s="28">
        <f>'FY21 Final Initial $$'!BV80/'FY21 FTE'!BV$120</f>
        <v>0</v>
      </c>
      <c r="BW80" s="28">
        <f>'FY21 Final Initial $$'!BW80/'FY21 FTE'!BW$120</f>
        <v>0</v>
      </c>
      <c r="BX80" s="20">
        <v>0</v>
      </c>
      <c r="BY80" s="20">
        <v>0</v>
      </c>
      <c r="BZ80" s="20">
        <v>0</v>
      </c>
      <c r="CA80" s="20">
        <v>45000</v>
      </c>
      <c r="CB80" s="28">
        <f>'FY21 Final Initial $$'!CB80/'FY21 FTE'!CB$120</f>
        <v>0</v>
      </c>
      <c r="CC80" s="28">
        <f>'FY21 Final Initial $$'!CC80/'FY21 FTE'!CC$120</f>
        <v>0</v>
      </c>
      <c r="CD80" s="20">
        <v>0</v>
      </c>
      <c r="CE80" s="28">
        <f>'FY21 Final Initial $$'!CE80/'FY21 FTE'!CE$120</f>
        <v>2</v>
      </c>
      <c r="CF80" s="28">
        <f>'FY21 Final Initial $$'!CF80/'FY21 FTE'!CF$120</f>
        <v>0</v>
      </c>
      <c r="CG80" s="28">
        <f>'FY21 Final Initial $$'!CG80/'FY21 FTE'!CG$120</f>
        <v>1</v>
      </c>
      <c r="CH80" s="28">
        <f>'FY21 Final Initial $$'!CH80/'FY21 FTE'!CH$120</f>
        <v>1</v>
      </c>
      <c r="CI80" s="28">
        <f>'FY21 Final Initial $$'!CI80/'FY21 FTE'!CI$120</f>
        <v>0</v>
      </c>
      <c r="CJ80" s="28">
        <f>'FY21 Final Initial $$'!CJ80/'FY21 FTE'!CJ$120</f>
        <v>0</v>
      </c>
      <c r="CK80" s="28">
        <f>'FY21 Final Initial $$'!CK80/'FY21 FTE'!CK$120</f>
        <v>0</v>
      </c>
      <c r="CL80" s="28">
        <f>'FY21 Final Initial $$'!CL80/'FY21 FTE'!CL$120</f>
        <v>0</v>
      </c>
      <c r="CM80" s="20">
        <v>0</v>
      </c>
      <c r="CN80" s="20">
        <v>0</v>
      </c>
      <c r="CO80" s="20">
        <v>244045.91999999998</v>
      </c>
      <c r="CP80" s="20">
        <v>0</v>
      </c>
      <c r="CQ80" s="28">
        <f>'FY21 Final Initial $$'!CQ80/'FY21 FTE'!CQ$120</f>
        <v>1</v>
      </c>
      <c r="CR80" s="20">
        <v>0</v>
      </c>
      <c r="CS80" s="20">
        <v>3600</v>
      </c>
      <c r="CT80" s="20">
        <v>0</v>
      </c>
      <c r="CU80" s="20">
        <v>38380.979062500002</v>
      </c>
      <c r="CV80" s="28">
        <f>'FY21 Final Initial $$'!CV80/'FY21 FTE'!CV$120</f>
        <v>0</v>
      </c>
      <c r="CW80" s="28">
        <f>'FY21 Final Initial $$'!CW80/'FY21 FTE'!CW$120</f>
        <v>0</v>
      </c>
      <c r="CX80" s="20">
        <v>0</v>
      </c>
      <c r="CY80" s="28">
        <f>'FY21 Final Initial $$'!CY80/'FY21 FTE'!CY$120</f>
        <v>0</v>
      </c>
      <c r="CZ80" s="20">
        <v>0</v>
      </c>
      <c r="DA80" s="20">
        <v>0</v>
      </c>
      <c r="DB80" s="20">
        <v>27200</v>
      </c>
      <c r="DC80" s="20">
        <v>60689.739598781009</v>
      </c>
      <c r="DD80" s="20">
        <v>0</v>
      </c>
      <c r="DE80" s="20">
        <v>0</v>
      </c>
      <c r="DF80" s="20">
        <v>0</v>
      </c>
      <c r="DG80" s="20">
        <v>0</v>
      </c>
      <c r="DH80" s="28">
        <f>'FY21 Final Initial $$'!DH80/'FY21 FTE'!DH$120</f>
        <v>0</v>
      </c>
      <c r="DI80" s="20"/>
      <c r="DJ80" s="20">
        <v>6075.0000737607479</v>
      </c>
      <c r="DK80" s="22">
        <v>0</v>
      </c>
      <c r="DL80" s="20">
        <v>83968.399275162257</v>
      </c>
      <c r="DM80" s="20">
        <v>250000</v>
      </c>
      <c r="DN80" s="20">
        <v>5155841.6543759499</v>
      </c>
      <c r="DO80" s="29">
        <f t="shared" si="6"/>
        <v>0</v>
      </c>
      <c r="DP80" s="29">
        <f t="shared" si="6"/>
        <v>0</v>
      </c>
      <c r="DQ80" s="29">
        <f t="shared" si="7"/>
        <v>15.2</v>
      </c>
      <c r="DR80" s="29">
        <f t="shared" si="8"/>
        <v>7</v>
      </c>
      <c r="DS80" s="29">
        <f t="shared" si="9"/>
        <v>0</v>
      </c>
    </row>
    <row r="81" spans="1:123" x14ac:dyDescent="0.25">
      <c r="A81" s="18">
        <v>299</v>
      </c>
      <c r="B81" t="s">
        <v>221</v>
      </c>
      <c r="C81" t="s">
        <v>135</v>
      </c>
      <c r="D81">
        <v>7</v>
      </c>
      <c r="E81">
        <v>271</v>
      </c>
      <c r="F81" s="19">
        <f t="shared" si="5"/>
        <v>0.87822878228782286</v>
      </c>
      <c r="G81">
        <v>238</v>
      </c>
      <c r="H81" s="28">
        <f>'FY21 Final Initial $$'!H81/'FY21 FTE'!H$120</f>
        <v>1</v>
      </c>
      <c r="I81" s="28">
        <f>'FY21 Final Initial $$'!I81/'FY21 FTE'!I$120</f>
        <v>1</v>
      </c>
      <c r="J81" s="28">
        <f>'FY21 Final Initial $$'!J81/'FY21 FTE'!J$120</f>
        <v>0</v>
      </c>
      <c r="K81" s="28">
        <f>'FY21 Final Initial $$'!K81/'FY21 FTE'!K$120</f>
        <v>0</v>
      </c>
      <c r="L81" s="28">
        <f>'FY21 Final Initial $$'!L81/'FY21 FTE'!L$120</f>
        <v>0</v>
      </c>
      <c r="M81" s="28">
        <f>'FY21 Final Initial $$'!M81/'FY21 FTE'!M$120</f>
        <v>0.5</v>
      </c>
      <c r="N81" s="28">
        <f>'FY21 Final Initial $$'!N81/'FY21 FTE'!N$120</f>
        <v>1</v>
      </c>
      <c r="O81" s="28">
        <f>'FY21 Final Initial $$'!O81/'FY21 FTE'!O$120</f>
        <v>0</v>
      </c>
      <c r="P81" s="28">
        <f>'FY21 Final Initial $$'!P81/'FY21 FTE'!P$120</f>
        <v>0</v>
      </c>
      <c r="Q81" s="28">
        <f>'FY21 Final Initial $$'!Q81/'FY21 FTE'!Q$120</f>
        <v>0</v>
      </c>
      <c r="R81" s="28">
        <f>'FY21 Final Initial $$'!R81/'FY21 FTE'!R$120</f>
        <v>0</v>
      </c>
      <c r="S81" s="28">
        <f>'FY21 Final Initial $$'!S81/'FY21 FTE'!S$120</f>
        <v>1</v>
      </c>
      <c r="T81" s="28">
        <f>'FY21 Final Initial $$'!T81/'FY21 FTE'!T$120</f>
        <v>1</v>
      </c>
      <c r="U81" s="28">
        <f>'FY21 Final Initial $$'!U81/'FY21 FTE'!U$120</f>
        <v>1</v>
      </c>
      <c r="V81" s="28">
        <f>'FY21 Final Initial $$'!V81/'FY21 FTE'!V$120</f>
        <v>0.5</v>
      </c>
      <c r="W81" s="28">
        <f>'FY21 Final Initial $$'!W81/'FY21 FTE'!W$120</f>
        <v>1</v>
      </c>
      <c r="X81" s="28">
        <f>'FY21 Final Initial $$'!X81/'FY21 FTE'!X$120</f>
        <v>1</v>
      </c>
      <c r="Y81" s="28">
        <f>'FY21 Final Initial $$'!Y81/'FY21 FTE'!Y$120</f>
        <v>1</v>
      </c>
      <c r="Z81" s="28">
        <f>'FY21 Final Initial $$'!Z81/'FY21 FTE'!Z$120</f>
        <v>-1.3122687780540747E-15</v>
      </c>
      <c r="AA81" s="28">
        <f>'FY21 Final Initial $$'!AA81/'FY21 FTE'!AA$120</f>
        <v>1</v>
      </c>
      <c r="AB81" s="28">
        <f>'FY21 Final Initial $$'!AB81/'FY21 FTE'!AB$120</f>
        <v>0</v>
      </c>
      <c r="AC81" s="28">
        <f>'FY21 Final Initial $$'!AC81/'FY21 FTE'!AC$120</f>
        <v>0</v>
      </c>
      <c r="AD81" s="28">
        <f>'FY21 Final Initial $$'!AD81/'FY21 FTE'!AD$120</f>
        <v>4</v>
      </c>
      <c r="AE81" s="28">
        <f>'FY21 Final Initial $$'!AE81/'FY21 FTE'!AE$120</f>
        <v>4</v>
      </c>
      <c r="AF81" s="28">
        <f>'FY21 Final Initial $$'!AF81/'FY21 FTE'!AF$120</f>
        <v>0</v>
      </c>
      <c r="AG81" s="28">
        <f>'FY21 Final Initial $$'!AG81/'FY21 FTE'!AG$120</f>
        <v>0</v>
      </c>
      <c r="AH81" s="28">
        <f>'FY21 Final Initial $$'!AH81/'FY21 FTE'!AH$120</f>
        <v>2</v>
      </c>
      <c r="AI81" s="28">
        <f>'FY21 Final Initial $$'!AI81/'FY21 FTE'!AI$120</f>
        <v>2</v>
      </c>
      <c r="AJ81" s="28">
        <f>'FY21 Final Initial $$'!AJ81/'FY21 FTE'!AJ$120</f>
        <v>2</v>
      </c>
      <c r="AK81" s="28">
        <f>'FY21 Final Initial $$'!AK81/'FY21 FTE'!AK$120</f>
        <v>2</v>
      </c>
      <c r="AL81" s="28">
        <f>'FY21 Final Initial $$'!AL81/'FY21 FTE'!AL$120</f>
        <v>2</v>
      </c>
      <c r="AM81" s="28">
        <f>'FY21 Final Initial $$'!AM81/'FY21 FTE'!AM$120</f>
        <v>2</v>
      </c>
      <c r="AN81" s="28">
        <f>'FY21 Final Initial $$'!AN81/'FY21 FTE'!AN$120</f>
        <v>2.0000000000000027</v>
      </c>
      <c r="AO81" s="28">
        <f>'FY21 Final Initial $$'!AO81/'FY21 FTE'!AO$120</f>
        <v>0</v>
      </c>
      <c r="AP81" s="28">
        <f>'FY21 Final Initial $$'!AP81/'FY21 FTE'!AP$120</f>
        <v>0</v>
      </c>
      <c r="AQ81" s="28">
        <f>'FY21 Final Initial $$'!AQ81/'FY21 FTE'!AQ$120</f>
        <v>0</v>
      </c>
      <c r="AR81" s="28">
        <f>'FY21 Final Initial $$'!AR81/'FY21 FTE'!AR$120</f>
        <v>0</v>
      </c>
      <c r="AS81" s="28">
        <f>'FY21 Final Initial $$'!AS81/'FY21 FTE'!AS$120</f>
        <v>0</v>
      </c>
      <c r="AT81" s="28">
        <f>'FY21 Final Initial $$'!AT81/'FY21 FTE'!AT$120</f>
        <v>0</v>
      </c>
      <c r="AU81" s="28">
        <f>'FY21 Final Initial $$'!AU81/'FY21 FTE'!AU$120</f>
        <v>0</v>
      </c>
      <c r="AV81" s="28">
        <f>'FY21 Final Initial $$'!AV81/'FY21 FTE'!AV$120</f>
        <v>0</v>
      </c>
      <c r="AW81" s="28">
        <f>'FY21 Final Initial $$'!AW81/'FY21 FTE'!AW$120</f>
        <v>0</v>
      </c>
      <c r="AX81" s="28">
        <f>'FY21 Final Initial $$'!AX81/'FY21 FTE'!AX$120</f>
        <v>0</v>
      </c>
      <c r="AY81" s="28">
        <f>'FY21 Final Initial $$'!AY81/'FY21 FTE'!AY$120</f>
        <v>1</v>
      </c>
      <c r="AZ81" s="28">
        <f>'FY21 Final Initial $$'!AZ81/'FY21 FTE'!AZ$120</f>
        <v>1.5</v>
      </c>
      <c r="BA81" s="28">
        <f>'FY21 Final Initial $$'!BA81/'FY21 FTE'!BA$120</f>
        <v>6</v>
      </c>
      <c r="BB81" s="28">
        <f>'FY21 Final Initial $$'!BB81/'FY21 FTE'!BB$120</f>
        <v>6</v>
      </c>
      <c r="BC81" s="28">
        <f>'FY21 Final Initial $$'!BC81/'FY21 FTE'!BC$120</f>
        <v>0</v>
      </c>
      <c r="BD81" s="28">
        <f>'FY21 Final Initial $$'!BD81/'FY21 FTE'!BD$120</f>
        <v>0</v>
      </c>
      <c r="BE81" s="28">
        <f>'FY21 Final Initial $$'!BE81/'FY21 FTE'!BE$120</f>
        <v>1.5</v>
      </c>
      <c r="BF81" s="28">
        <f>'FY21 Final Initial $$'!BF81/'FY21 FTE'!BF$120</f>
        <v>0</v>
      </c>
      <c r="BG81" s="28">
        <f>'FY21 Final Initial $$'!BG81/'FY21 FTE'!BG$120</f>
        <v>0</v>
      </c>
      <c r="BH81" s="28">
        <f>'FY21 Final Initial $$'!BH81/'FY21 FTE'!BH$120</f>
        <v>4</v>
      </c>
      <c r="BI81" s="28">
        <f>'FY21 Final Initial $$'!BI81/'FY21 FTE'!BI$120</f>
        <v>4</v>
      </c>
      <c r="BJ81" s="28">
        <f>'FY21 Final Initial $$'!BJ81/'FY21 FTE'!BJ$120</f>
        <v>0</v>
      </c>
      <c r="BK81" s="20">
        <v>0</v>
      </c>
      <c r="BL81" s="20"/>
      <c r="BM81" s="20"/>
      <c r="BN81" s="20">
        <v>122312.18</v>
      </c>
      <c r="BO81" s="20">
        <v>2023.52</v>
      </c>
      <c r="BP81" s="20">
        <v>0</v>
      </c>
      <c r="BQ81" s="28">
        <f>'FY21 Final Initial $$'!BQ81/'FY21 FTE'!BQ$120</f>
        <v>0</v>
      </c>
      <c r="BR81" s="28">
        <f>'FY21 Final Initial $$'!BR81/'FY21 FTE'!BR$120</f>
        <v>0</v>
      </c>
      <c r="BS81" s="28">
        <f>'FY21 Final Initial $$'!BS81/'FY21 FTE'!BS$120</f>
        <v>0</v>
      </c>
      <c r="BT81" s="28">
        <f>'FY21 Final Initial $$'!BT81/'FY21 FTE'!BT$120</f>
        <v>0</v>
      </c>
      <c r="BU81" s="28">
        <f>'FY21 Final Initial $$'!BU81/'FY21 FTE'!BU$120</f>
        <v>0</v>
      </c>
      <c r="BV81" s="28">
        <f>'FY21 Final Initial $$'!BV81/'FY21 FTE'!BV$120</f>
        <v>0</v>
      </c>
      <c r="BW81" s="28">
        <f>'FY21 Final Initial $$'!BW81/'FY21 FTE'!BW$120</f>
        <v>0</v>
      </c>
      <c r="BX81" s="20">
        <v>0</v>
      </c>
      <c r="BY81" s="20">
        <v>0</v>
      </c>
      <c r="BZ81" s="20">
        <v>0</v>
      </c>
      <c r="CA81" s="20">
        <v>0</v>
      </c>
      <c r="CB81" s="28">
        <f>'FY21 Final Initial $$'!CB81/'FY21 FTE'!CB$120</f>
        <v>0</v>
      </c>
      <c r="CC81" s="28">
        <f>'FY21 Final Initial $$'!CC81/'FY21 FTE'!CC$120</f>
        <v>0</v>
      </c>
      <c r="CD81" s="20">
        <v>0</v>
      </c>
      <c r="CE81" s="28">
        <f>'FY21 Final Initial $$'!CE81/'FY21 FTE'!CE$120</f>
        <v>0</v>
      </c>
      <c r="CF81" s="28">
        <f>'FY21 Final Initial $$'!CF81/'FY21 FTE'!CF$120</f>
        <v>0</v>
      </c>
      <c r="CG81" s="28">
        <f>'FY21 Final Initial $$'!CG81/'FY21 FTE'!CG$120</f>
        <v>0</v>
      </c>
      <c r="CH81" s="28">
        <f>'FY21 Final Initial $$'!CH81/'FY21 FTE'!CH$120</f>
        <v>0</v>
      </c>
      <c r="CI81" s="28">
        <f>'FY21 Final Initial $$'!CI81/'FY21 FTE'!CI$120</f>
        <v>0</v>
      </c>
      <c r="CJ81" s="28">
        <f>'FY21 Final Initial $$'!CJ81/'FY21 FTE'!CJ$120</f>
        <v>0</v>
      </c>
      <c r="CK81" s="28">
        <f>'FY21 Final Initial $$'!CK81/'FY21 FTE'!CK$120</f>
        <v>0</v>
      </c>
      <c r="CL81" s="28">
        <f>'FY21 Final Initial $$'!CL81/'FY21 FTE'!CL$120</f>
        <v>0</v>
      </c>
      <c r="CM81" s="20">
        <v>0</v>
      </c>
      <c r="CN81" s="20">
        <v>0</v>
      </c>
      <c r="CO81" s="20">
        <v>55921.759999999995</v>
      </c>
      <c r="CP81" s="20">
        <v>0</v>
      </c>
      <c r="CQ81" s="28">
        <f>'FY21 Final Initial $$'!CQ81/'FY21 FTE'!CQ$120</f>
        <v>0</v>
      </c>
      <c r="CR81" s="20">
        <v>0</v>
      </c>
      <c r="CS81" s="20">
        <v>9520</v>
      </c>
      <c r="CT81" s="20">
        <v>0</v>
      </c>
      <c r="CU81" s="20">
        <v>15801.540178571428</v>
      </c>
      <c r="CV81" s="28">
        <f>'FY21 Final Initial $$'!CV81/'FY21 FTE'!CV$120</f>
        <v>0</v>
      </c>
      <c r="CW81" s="28">
        <f>'FY21 Final Initial $$'!CW81/'FY21 FTE'!CW$120</f>
        <v>0</v>
      </c>
      <c r="CX81" s="20">
        <v>0</v>
      </c>
      <c r="CY81" s="28">
        <f>'FY21 Final Initial $$'!CY81/'FY21 FTE'!CY$120</f>
        <v>0</v>
      </c>
      <c r="CZ81" s="20">
        <v>0</v>
      </c>
      <c r="DA81" s="20">
        <v>0</v>
      </c>
      <c r="DB81" s="20">
        <v>27100</v>
      </c>
      <c r="DC81" s="20">
        <v>70480.926347365123</v>
      </c>
      <c r="DD81" s="20">
        <v>0</v>
      </c>
      <c r="DE81" s="20">
        <v>0</v>
      </c>
      <c r="DF81" s="20">
        <v>0</v>
      </c>
      <c r="DG81" s="20">
        <v>0</v>
      </c>
      <c r="DH81" s="28">
        <f>'FY21 Final Initial $$'!DH81/'FY21 FTE'!DH$120</f>
        <v>0</v>
      </c>
      <c r="DI81" s="20"/>
      <c r="DJ81" s="20">
        <v>25025.000087171793</v>
      </c>
      <c r="DK81" s="22">
        <v>0</v>
      </c>
      <c r="DL81" s="20">
        <v>0</v>
      </c>
      <c r="DM81" s="20">
        <v>135000</v>
      </c>
      <c r="DN81" s="20">
        <v>4951862.21526933</v>
      </c>
      <c r="DO81" s="29">
        <f t="shared" si="6"/>
        <v>6</v>
      </c>
      <c r="DP81" s="29">
        <f t="shared" si="6"/>
        <v>6</v>
      </c>
      <c r="DQ81" s="29">
        <f t="shared" si="7"/>
        <v>10.000000000000004</v>
      </c>
      <c r="DR81" s="29">
        <f t="shared" si="8"/>
        <v>10</v>
      </c>
      <c r="DS81" s="29">
        <f t="shared" si="9"/>
        <v>6</v>
      </c>
    </row>
    <row r="82" spans="1:123" x14ac:dyDescent="0.25">
      <c r="A82" s="18">
        <v>300</v>
      </c>
      <c r="B82" t="s">
        <v>222</v>
      </c>
      <c r="C82" t="s">
        <v>135</v>
      </c>
      <c r="D82">
        <v>4</v>
      </c>
      <c r="E82">
        <v>533</v>
      </c>
      <c r="F82" s="19">
        <f t="shared" si="5"/>
        <v>0.43902439024390244</v>
      </c>
      <c r="G82">
        <v>234</v>
      </c>
      <c r="H82" s="28">
        <f>'FY21 Final Initial $$'!H82/'FY21 FTE'!H$120</f>
        <v>1</v>
      </c>
      <c r="I82" s="28">
        <f>'FY21 Final Initial $$'!I82/'FY21 FTE'!I$120</f>
        <v>1</v>
      </c>
      <c r="J82" s="28">
        <f>'FY21 Final Initial $$'!J82/'FY21 FTE'!J$120</f>
        <v>1.3</v>
      </c>
      <c r="K82" s="28">
        <f>'FY21 Final Initial $$'!K82/'FY21 FTE'!K$120</f>
        <v>0</v>
      </c>
      <c r="L82" s="28">
        <f>'FY21 Final Initial $$'!L82/'FY21 FTE'!L$120</f>
        <v>0</v>
      </c>
      <c r="M82" s="28">
        <f>'FY21 Final Initial $$'!M82/'FY21 FTE'!M$120</f>
        <v>1</v>
      </c>
      <c r="N82" s="28">
        <f>'FY21 Final Initial $$'!N82/'FY21 FTE'!N$120</f>
        <v>1</v>
      </c>
      <c r="O82" s="28">
        <f>'FY21 Final Initial $$'!O82/'FY21 FTE'!O$120</f>
        <v>1.3</v>
      </c>
      <c r="P82" s="28">
        <f>'FY21 Final Initial $$'!P82/'FY21 FTE'!P$120</f>
        <v>0</v>
      </c>
      <c r="Q82" s="28">
        <f>'FY21 Final Initial $$'!Q82/'FY21 FTE'!Q$120</f>
        <v>0</v>
      </c>
      <c r="R82" s="28">
        <f>'FY21 Final Initial $$'!R82/'FY21 FTE'!R$120</f>
        <v>0</v>
      </c>
      <c r="S82" s="28">
        <f>'FY21 Final Initial $$'!S82/'FY21 FTE'!S$120</f>
        <v>1</v>
      </c>
      <c r="T82" s="28">
        <f>'FY21 Final Initial $$'!T82/'FY21 FTE'!T$120</f>
        <v>1</v>
      </c>
      <c r="U82" s="28">
        <f>'FY21 Final Initial $$'!U82/'FY21 FTE'!U$120</f>
        <v>3</v>
      </c>
      <c r="V82" s="28">
        <f>'FY21 Final Initial $$'!V82/'FY21 FTE'!V$120</f>
        <v>1</v>
      </c>
      <c r="W82" s="28">
        <f>'FY21 Final Initial $$'!W82/'FY21 FTE'!W$120</f>
        <v>1</v>
      </c>
      <c r="X82" s="28">
        <f>'FY21 Final Initial $$'!X82/'FY21 FTE'!X$120</f>
        <v>1</v>
      </c>
      <c r="Y82" s="28">
        <f>'FY21 Final Initial $$'!Y82/'FY21 FTE'!Y$120</f>
        <v>1</v>
      </c>
      <c r="Z82" s="28">
        <f>'FY21 Final Initial $$'!Z82/'FY21 FTE'!Z$120</f>
        <v>1.5</v>
      </c>
      <c r="AA82" s="28">
        <f>'FY21 Final Initial $$'!AA82/'FY21 FTE'!AA$120</f>
        <v>0</v>
      </c>
      <c r="AB82" s="28">
        <f>'FY21 Final Initial $$'!AB82/'FY21 FTE'!AB$120</f>
        <v>0</v>
      </c>
      <c r="AC82" s="28">
        <f>'FY21 Final Initial $$'!AC82/'FY21 FTE'!AC$120</f>
        <v>0</v>
      </c>
      <c r="AD82" s="28">
        <f>'FY21 Final Initial $$'!AD82/'FY21 FTE'!AD$120</f>
        <v>5</v>
      </c>
      <c r="AE82" s="28">
        <f>'FY21 Final Initial $$'!AE82/'FY21 FTE'!AE$120</f>
        <v>5</v>
      </c>
      <c r="AF82" s="28">
        <f>'FY21 Final Initial $$'!AF82/'FY21 FTE'!AF$120</f>
        <v>0</v>
      </c>
      <c r="AG82" s="28">
        <f>'FY21 Final Initial $$'!AG82/'FY21 FTE'!AG$120</f>
        <v>0</v>
      </c>
      <c r="AH82" s="28">
        <f>'FY21 Final Initial $$'!AH82/'FY21 FTE'!AH$120</f>
        <v>4</v>
      </c>
      <c r="AI82" s="28">
        <f>'FY21 Final Initial $$'!AI82/'FY21 FTE'!AI$120</f>
        <v>4</v>
      </c>
      <c r="AJ82" s="28">
        <f>'FY21 Final Initial $$'!AJ82/'FY21 FTE'!AJ$120</f>
        <v>4</v>
      </c>
      <c r="AK82" s="28">
        <f>'FY21 Final Initial $$'!AK82/'FY21 FTE'!AK$120</f>
        <v>4</v>
      </c>
      <c r="AL82" s="28">
        <f>'FY21 Final Initial $$'!AL82/'FY21 FTE'!AL$120</f>
        <v>3</v>
      </c>
      <c r="AM82" s="28">
        <f>'FY21 Final Initial $$'!AM82/'FY21 FTE'!AM$120</f>
        <v>3</v>
      </c>
      <c r="AN82" s="28">
        <f>'FY21 Final Initial $$'!AN82/'FY21 FTE'!AN$120</f>
        <v>3.000000000000004</v>
      </c>
      <c r="AO82" s="28">
        <f>'FY21 Final Initial $$'!AO82/'FY21 FTE'!AO$120</f>
        <v>0</v>
      </c>
      <c r="AP82" s="28">
        <f>'FY21 Final Initial $$'!AP82/'FY21 FTE'!AP$120</f>
        <v>0</v>
      </c>
      <c r="AQ82" s="28">
        <f>'FY21 Final Initial $$'!AQ82/'FY21 FTE'!AQ$120</f>
        <v>0</v>
      </c>
      <c r="AR82" s="28">
        <f>'FY21 Final Initial $$'!AR82/'FY21 FTE'!AR$120</f>
        <v>0</v>
      </c>
      <c r="AS82" s="28">
        <f>'FY21 Final Initial $$'!AS82/'FY21 FTE'!AS$120</f>
        <v>0</v>
      </c>
      <c r="AT82" s="28">
        <f>'FY21 Final Initial $$'!AT82/'FY21 FTE'!AT$120</f>
        <v>0</v>
      </c>
      <c r="AU82" s="28">
        <f>'FY21 Final Initial $$'!AU82/'FY21 FTE'!AU$120</f>
        <v>0</v>
      </c>
      <c r="AV82" s="28">
        <f>'FY21 Final Initial $$'!AV82/'FY21 FTE'!AV$120</f>
        <v>0</v>
      </c>
      <c r="AW82" s="28">
        <f>'FY21 Final Initial $$'!AW82/'FY21 FTE'!AW$120</f>
        <v>0</v>
      </c>
      <c r="AX82" s="28">
        <f>'FY21 Final Initial $$'!AX82/'FY21 FTE'!AX$120</f>
        <v>0</v>
      </c>
      <c r="AY82" s="28">
        <f>'FY21 Final Initial $$'!AY82/'FY21 FTE'!AY$120</f>
        <v>1</v>
      </c>
      <c r="AZ82" s="28">
        <f>'FY21 Final Initial $$'!AZ82/'FY21 FTE'!AZ$120</f>
        <v>1</v>
      </c>
      <c r="BA82" s="28">
        <f>'FY21 Final Initial $$'!BA82/'FY21 FTE'!BA$120</f>
        <v>7</v>
      </c>
      <c r="BB82" s="28">
        <f>'FY21 Final Initial $$'!BB82/'FY21 FTE'!BB$120</f>
        <v>2</v>
      </c>
      <c r="BC82" s="28">
        <f>'FY21 Final Initial $$'!BC82/'FY21 FTE'!BC$120</f>
        <v>0</v>
      </c>
      <c r="BD82" s="28">
        <f>'FY21 Final Initial $$'!BD82/'FY21 FTE'!BD$120</f>
        <v>0</v>
      </c>
      <c r="BE82" s="28">
        <f>'FY21 Final Initial $$'!BE82/'FY21 FTE'!BE$120</f>
        <v>15.500000000000002</v>
      </c>
      <c r="BF82" s="28">
        <f>'FY21 Final Initial $$'!BF82/'FY21 FTE'!BF$120</f>
        <v>1</v>
      </c>
      <c r="BG82" s="28">
        <f>'FY21 Final Initial $$'!BG82/'FY21 FTE'!BG$120</f>
        <v>3</v>
      </c>
      <c r="BH82" s="28">
        <f>'FY21 Final Initial $$'!BH82/'FY21 FTE'!BH$120</f>
        <v>8</v>
      </c>
      <c r="BI82" s="28">
        <f>'FY21 Final Initial $$'!BI82/'FY21 FTE'!BI$120</f>
        <v>8</v>
      </c>
      <c r="BJ82" s="28">
        <f>'FY21 Final Initial $$'!BJ82/'FY21 FTE'!BJ$120</f>
        <v>0</v>
      </c>
      <c r="BK82" s="20">
        <v>0</v>
      </c>
      <c r="BL82" s="20"/>
      <c r="BM82" s="20"/>
      <c r="BN82" s="20">
        <v>225446.49</v>
      </c>
      <c r="BO82" s="20">
        <v>3729.76</v>
      </c>
      <c r="BP82" s="20">
        <v>0</v>
      </c>
      <c r="BQ82" s="28">
        <f>'FY21 Final Initial $$'!BQ82/'FY21 FTE'!BQ$120</f>
        <v>0</v>
      </c>
      <c r="BR82" s="28">
        <f>'FY21 Final Initial $$'!BR82/'FY21 FTE'!BR$120</f>
        <v>0</v>
      </c>
      <c r="BS82" s="28">
        <f>'FY21 Final Initial $$'!BS82/'FY21 FTE'!BS$120</f>
        <v>0</v>
      </c>
      <c r="BT82" s="28">
        <f>'FY21 Final Initial $$'!BT82/'FY21 FTE'!BT$120</f>
        <v>0</v>
      </c>
      <c r="BU82" s="28">
        <f>'FY21 Final Initial $$'!BU82/'FY21 FTE'!BU$120</f>
        <v>0</v>
      </c>
      <c r="BV82" s="28">
        <f>'FY21 Final Initial $$'!BV82/'FY21 FTE'!BV$120</f>
        <v>0</v>
      </c>
      <c r="BW82" s="28">
        <f>'FY21 Final Initial $$'!BW82/'FY21 FTE'!BW$120</f>
        <v>0</v>
      </c>
      <c r="BX82" s="20">
        <v>0</v>
      </c>
      <c r="BY82" s="20">
        <v>0</v>
      </c>
      <c r="BZ82" s="20">
        <v>0</v>
      </c>
      <c r="CA82" s="20">
        <v>0</v>
      </c>
      <c r="CB82" s="28">
        <f>'FY21 Final Initial $$'!CB82/'FY21 FTE'!CB$120</f>
        <v>0</v>
      </c>
      <c r="CC82" s="28">
        <f>'FY21 Final Initial $$'!CC82/'FY21 FTE'!CC$120</f>
        <v>0</v>
      </c>
      <c r="CD82" s="20">
        <v>0</v>
      </c>
      <c r="CE82" s="28">
        <f>'FY21 Final Initial $$'!CE82/'FY21 FTE'!CE$120</f>
        <v>0</v>
      </c>
      <c r="CF82" s="28">
        <f>'FY21 Final Initial $$'!CF82/'FY21 FTE'!CF$120</f>
        <v>0</v>
      </c>
      <c r="CG82" s="28">
        <f>'FY21 Final Initial $$'!CG82/'FY21 FTE'!CG$120</f>
        <v>0</v>
      </c>
      <c r="CH82" s="28">
        <f>'FY21 Final Initial $$'!CH82/'FY21 FTE'!CH$120</f>
        <v>0</v>
      </c>
      <c r="CI82" s="28">
        <f>'FY21 Final Initial $$'!CI82/'FY21 FTE'!CI$120</f>
        <v>0</v>
      </c>
      <c r="CJ82" s="28">
        <f>'FY21 Final Initial $$'!CJ82/'FY21 FTE'!CJ$120</f>
        <v>0</v>
      </c>
      <c r="CK82" s="28">
        <f>'FY21 Final Initial $$'!CK82/'FY21 FTE'!CK$120</f>
        <v>0</v>
      </c>
      <c r="CL82" s="28">
        <f>'FY21 Final Initial $$'!CL82/'FY21 FTE'!CL$120</f>
        <v>0</v>
      </c>
      <c r="CM82" s="20">
        <v>0</v>
      </c>
      <c r="CN82" s="20">
        <v>0</v>
      </c>
      <c r="CO82" s="20">
        <v>111843.51999999999</v>
      </c>
      <c r="CP82" s="20">
        <v>0</v>
      </c>
      <c r="CQ82" s="28">
        <f>'FY21 Final Initial $$'!CQ82/'FY21 FTE'!CQ$120</f>
        <v>0</v>
      </c>
      <c r="CR82" s="20">
        <v>0</v>
      </c>
      <c r="CS82" s="20">
        <v>4680</v>
      </c>
      <c r="CT82" s="20">
        <v>146160</v>
      </c>
      <c r="CU82" s="20">
        <v>26713.052083333332</v>
      </c>
      <c r="CV82" s="28">
        <f>'FY21 Final Initial $$'!CV82/'FY21 FTE'!CV$120</f>
        <v>0</v>
      </c>
      <c r="CW82" s="28">
        <f>'FY21 Final Initial $$'!CW82/'FY21 FTE'!CW$120</f>
        <v>0</v>
      </c>
      <c r="CX82" s="20">
        <v>0</v>
      </c>
      <c r="CY82" s="28">
        <f>'FY21 Final Initial $$'!CY82/'FY21 FTE'!CY$120</f>
        <v>0</v>
      </c>
      <c r="CZ82" s="20">
        <v>0</v>
      </c>
      <c r="DA82" s="20">
        <v>0</v>
      </c>
      <c r="DB82" s="20">
        <v>53300</v>
      </c>
      <c r="DC82" s="20">
        <v>130176.76563790844</v>
      </c>
      <c r="DD82" s="20">
        <v>0</v>
      </c>
      <c r="DE82" s="20">
        <v>0</v>
      </c>
      <c r="DF82" s="20">
        <v>0</v>
      </c>
      <c r="DG82" s="20">
        <v>0</v>
      </c>
      <c r="DH82" s="28">
        <f>'FY21 Final Initial $$'!DH82/'FY21 FTE'!DH$120</f>
        <v>0</v>
      </c>
      <c r="DI82" s="20"/>
      <c r="DJ82" s="20">
        <v>27499.999541044235</v>
      </c>
      <c r="DK82" s="22">
        <v>0</v>
      </c>
      <c r="DL82" s="20">
        <v>0</v>
      </c>
      <c r="DM82" s="20">
        <v>0</v>
      </c>
      <c r="DN82" s="20">
        <v>8869382.980921194</v>
      </c>
      <c r="DO82" s="29">
        <f t="shared" si="6"/>
        <v>9</v>
      </c>
      <c r="DP82" s="29">
        <f t="shared" si="6"/>
        <v>9</v>
      </c>
      <c r="DQ82" s="29">
        <f t="shared" si="7"/>
        <v>17.000000000000004</v>
      </c>
      <c r="DR82" s="29">
        <f t="shared" si="8"/>
        <v>27.5</v>
      </c>
      <c r="DS82" s="29">
        <f t="shared" si="9"/>
        <v>3</v>
      </c>
    </row>
    <row r="83" spans="1:123" x14ac:dyDescent="0.25">
      <c r="A83" s="18">
        <v>316</v>
      </c>
      <c r="B83" t="s">
        <v>223</v>
      </c>
      <c r="C83" t="s">
        <v>135</v>
      </c>
      <c r="D83">
        <v>7</v>
      </c>
      <c r="E83">
        <v>346</v>
      </c>
      <c r="F83" s="19">
        <f t="shared" si="5"/>
        <v>0.56647398843930641</v>
      </c>
      <c r="G83">
        <v>196</v>
      </c>
      <c r="H83" s="28">
        <f>'FY21 Final Initial $$'!H83/'FY21 FTE'!H$120</f>
        <v>1</v>
      </c>
      <c r="I83" s="28">
        <f>'FY21 Final Initial $$'!I83/'FY21 FTE'!I$120</f>
        <v>1</v>
      </c>
      <c r="J83" s="28">
        <f>'FY21 Final Initial $$'!J83/'FY21 FTE'!J$120</f>
        <v>0.89999999999999991</v>
      </c>
      <c r="K83" s="28">
        <f>'FY21 Final Initial $$'!K83/'FY21 FTE'!K$120</f>
        <v>0</v>
      </c>
      <c r="L83" s="28">
        <f>'FY21 Final Initial $$'!L83/'FY21 FTE'!L$120</f>
        <v>0</v>
      </c>
      <c r="M83" s="28">
        <f>'FY21 Final Initial $$'!M83/'FY21 FTE'!M$120</f>
        <v>1</v>
      </c>
      <c r="N83" s="28">
        <f>'FY21 Final Initial $$'!N83/'FY21 FTE'!N$120</f>
        <v>1</v>
      </c>
      <c r="O83" s="28">
        <f>'FY21 Final Initial $$'!O83/'FY21 FTE'!O$120</f>
        <v>0</v>
      </c>
      <c r="P83" s="28">
        <f>'FY21 Final Initial $$'!P83/'FY21 FTE'!P$120</f>
        <v>0</v>
      </c>
      <c r="Q83" s="28">
        <f>'FY21 Final Initial $$'!Q83/'FY21 FTE'!Q$120</f>
        <v>0</v>
      </c>
      <c r="R83" s="28">
        <f>'FY21 Final Initial $$'!R83/'FY21 FTE'!R$120</f>
        <v>0</v>
      </c>
      <c r="S83" s="28">
        <f>'FY21 Final Initial $$'!S83/'FY21 FTE'!S$120</f>
        <v>1</v>
      </c>
      <c r="T83" s="28">
        <f>'FY21 Final Initial $$'!T83/'FY21 FTE'!T$120</f>
        <v>1</v>
      </c>
      <c r="U83" s="28">
        <f>'FY21 Final Initial $$'!U83/'FY21 FTE'!U$120</f>
        <v>2</v>
      </c>
      <c r="V83" s="28">
        <f>'FY21 Final Initial $$'!V83/'FY21 FTE'!V$120</f>
        <v>1</v>
      </c>
      <c r="W83" s="28">
        <f>'FY21 Final Initial $$'!W83/'FY21 FTE'!W$120</f>
        <v>1</v>
      </c>
      <c r="X83" s="28">
        <f>'FY21 Final Initial $$'!X83/'FY21 FTE'!X$120</f>
        <v>1</v>
      </c>
      <c r="Y83" s="28">
        <f>'FY21 Final Initial $$'!Y83/'FY21 FTE'!Y$120</f>
        <v>1</v>
      </c>
      <c r="Z83" s="28">
        <f>'FY21 Final Initial $$'!Z83/'FY21 FTE'!Z$120</f>
        <v>0</v>
      </c>
      <c r="AA83" s="28">
        <f>'FY21 Final Initial $$'!AA83/'FY21 FTE'!AA$120</f>
        <v>0</v>
      </c>
      <c r="AB83" s="28">
        <f>'FY21 Final Initial $$'!AB83/'FY21 FTE'!AB$120</f>
        <v>2</v>
      </c>
      <c r="AC83" s="28">
        <f>'FY21 Final Initial $$'!AC83/'FY21 FTE'!AC$120</f>
        <v>2</v>
      </c>
      <c r="AD83" s="28">
        <f>'FY21 Final Initial $$'!AD83/'FY21 FTE'!AD$120</f>
        <v>1</v>
      </c>
      <c r="AE83" s="28">
        <f>'FY21 Final Initial $$'!AE83/'FY21 FTE'!AE$120</f>
        <v>1</v>
      </c>
      <c r="AF83" s="28">
        <f>'FY21 Final Initial $$'!AF83/'FY21 FTE'!AF$120</f>
        <v>2</v>
      </c>
      <c r="AG83" s="28">
        <f>'FY21 Final Initial $$'!AG83/'FY21 FTE'!AG$120</f>
        <v>2</v>
      </c>
      <c r="AH83" s="28">
        <f>'FY21 Final Initial $$'!AH83/'FY21 FTE'!AH$120</f>
        <v>2</v>
      </c>
      <c r="AI83" s="28">
        <f>'FY21 Final Initial $$'!AI83/'FY21 FTE'!AI$120</f>
        <v>2</v>
      </c>
      <c r="AJ83" s="28">
        <f>'FY21 Final Initial $$'!AJ83/'FY21 FTE'!AJ$120</f>
        <v>2</v>
      </c>
      <c r="AK83" s="28">
        <f>'FY21 Final Initial $$'!AK83/'FY21 FTE'!AK$120</f>
        <v>2</v>
      </c>
      <c r="AL83" s="28">
        <f>'FY21 Final Initial $$'!AL83/'FY21 FTE'!AL$120</f>
        <v>2</v>
      </c>
      <c r="AM83" s="28">
        <f>'FY21 Final Initial $$'!AM83/'FY21 FTE'!AM$120</f>
        <v>2</v>
      </c>
      <c r="AN83" s="28">
        <f>'FY21 Final Initial $$'!AN83/'FY21 FTE'!AN$120</f>
        <v>2.0000000000000027</v>
      </c>
      <c r="AO83" s="28">
        <f>'FY21 Final Initial $$'!AO83/'FY21 FTE'!AO$120</f>
        <v>0</v>
      </c>
      <c r="AP83" s="28">
        <f>'FY21 Final Initial $$'!AP83/'FY21 FTE'!AP$120</f>
        <v>0</v>
      </c>
      <c r="AQ83" s="28">
        <f>'FY21 Final Initial $$'!AQ83/'FY21 FTE'!AQ$120</f>
        <v>0</v>
      </c>
      <c r="AR83" s="28">
        <f>'FY21 Final Initial $$'!AR83/'FY21 FTE'!AR$120</f>
        <v>0</v>
      </c>
      <c r="AS83" s="28">
        <f>'FY21 Final Initial $$'!AS83/'FY21 FTE'!AS$120</f>
        <v>0</v>
      </c>
      <c r="AT83" s="28">
        <f>'FY21 Final Initial $$'!AT83/'FY21 FTE'!AT$120</f>
        <v>0</v>
      </c>
      <c r="AU83" s="28">
        <f>'FY21 Final Initial $$'!AU83/'FY21 FTE'!AU$120</f>
        <v>0</v>
      </c>
      <c r="AV83" s="28">
        <f>'FY21 Final Initial $$'!AV83/'FY21 FTE'!AV$120</f>
        <v>0</v>
      </c>
      <c r="AW83" s="28">
        <f>'FY21 Final Initial $$'!AW83/'FY21 FTE'!AW$120</f>
        <v>0</v>
      </c>
      <c r="AX83" s="28">
        <f>'FY21 Final Initial $$'!AX83/'FY21 FTE'!AX$120</f>
        <v>0</v>
      </c>
      <c r="AY83" s="28">
        <f>'FY21 Final Initial $$'!AY83/'FY21 FTE'!AY$120</f>
        <v>1</v>
      </c>
      <c r="AZ83" s="28">
        <f>'FY21 Final Initial $$'!AZ83/'FY21 FTE'!AZ$120</f>
        <v>1</v>
      </c>
      <c r="BA83" s="28">
        <f>'FY21 Final Initial $$'!BA83/'FY21 FTE'!BA$120</f>
        <v>5</v>
      </c>
      <c r="BB83" s="28">
        <f>'FY21 Final Initial $$'!BB83/'FY21 FTE'!BB$120</f>
        <v>0</v>
      </c>
      <c r="BC83" s="28">
        <f>'FY21 Final Initial $$'!BC83/'FY21 FTE'!BC$120</f>
        <v>0</v>
      </c>
      <c r="BD83" s="28">
        <f>'FY21 Final Initial $$'!BD83/'FY21 FTE'!BD$120</f>
        <v>0</v>
      </c>
      <c r="BE83" s="28">
        <f>'FY21 Final Initial $$'!BE83/'FY21 FTE'!BE$120</f>
        <v>4.5454545454545456E-2</v>
      </c>
      <c r="BF83" s="28">
        <f>'FY21 Final Initial $$'!BF83/'FY21 FTE'!BF$120</f>
        <v>0</v>
      </c>
      <c r="BG83" s="28">
        <f>'FY21 Final Initial $$'!BG83/'FY21 FTE'!BG$120</f>
        <v>0</v>
      </c>
      <c r="BH83" s="28">
        <f>'FY21 Final Initial $$'!BH83/'FY21 FTE'!BH$120</f>
        <v>3</v>
      </c>
      <c r="BI83" s="28">
        <f>'FY21 Final Initial $$'!BI83/'FY21 FTE'!BI$120</f>
        <v>3</v>
      </c>
      <c r="BJ83" s="28">
        <f>'FY21 Final Initial $$'!BJ83/'FY21 FTE'!BJ$120</f>
        <v>0</v>
      </c>
      <c r="BK83" s="20">
        <v>0</v>
      </c>
      <c r="BL83" s="20"/>
      <c r="BM83" s="20"/>
      <c r="BN83" s="20">
        <v>147456.5</v>
      </c>
      <c r="BO83" s="20">
        <v>2439.5</v>
      </c>
      <c r="BP83" s="20">
        <v>0</v>
      </c>
      <c r="BQ83" s="28">
        <f>'FY21 Final Initial $$'!BQ83/'FY21 FTE'!BQ$120</f>
        <v>0</v>
      </c>
      <c r="BR83" s="28">
        <f>'FY21 Final Initial $$'!BR83/'FY21 FTE'!BR$120</f>
        <v>0</v>
      </c>
      <c r="BS83" s="28">
        <f>'FY21 Final Initial $$'!BS83/'FY21 FTE'!BS$120</f>
        <v>0</v>
      </c>
      <c r="BT83" s="28">
        <f>'FY21 Final Initial $$'!BT83/'FY21 FTE'!BT$120</f>
        <v>0</v>
      </c>
      <c r="BU83" s="28">
        <f>'FY21 Final Initial $$'!BU83/'FY21 FTE'!BU$120</f>
        <v>0</v>
      </c>
      <c r="BV83" s="28">
        <f>'FY21 Final Initial $$'!BV83/'FY21 FTE'!BV$120</f>
        <v>0</v>
      </c>
      <c r="BW83" s="28">
        <f>'FY21 Final Initial $$'!BW83/'FY21 FTE'!BW$120</f>
        <v>0</v>
      </c>
      <c r="BX83" s="20">
        <v>0</v>
      </c>
      <c r="BY83" s="20">
        <v>0</v>
      </c>
      <c r="BZ83" s="20">
        <v>0</v>
      </c>
      <c r="CA83" s="20">
        <v>0</v>
      </c>
      <c r="CB83" s="28">
        <f>'FY21 Final Initial $$'!CB83/'FY21 FTE'!CB$120</f>
        <v>0</v>
      </c>
      <c r="CC83" s="28">
        <f>'FY21 Final Initial $$'!CC83/'FY21 FTE'!CC$120</f>
        <v>0</v>
      </c>
      <c r="CD83" s="20">
        <v>0</v>
      </c>
      <c r="CE83" s="28">
        <f>'FY21 Final Initial $$'!CE83/'FY21 FTE'!CE$120</f>
        <v>0</v>
      </c>
      <c r="CF83" s="28">
        <f>'FY21 Final Initial $$'!CF83/'FY21 FTE'!CF$120</f>
        <v>0</v>
      </c>
      <c r="CG83" s="28">
        <f>'FY21 Final Initial $$'!CG83/'FY21 FTE'!CG$120</f>
        <v>0</v>
      </c>
      <c r="CH83" s="28">
        <f>'FY21 Final Initial $$'!CH83/'FY21 FTE'!CH$120</f>
        <v>0</v>
      </c>
      <c r="CI83" s="28">
        <f>'FY21 Final Initial $$'!CI83/'FY21 FTE'!CI$120</f>
        <v>0</v>
      </c>
      <c r="CJ83" s="28">
        <f>'FY21 Final Initial $$'!CJ83/'FY21 FTE'!CJ$120</f>
        <v>0</v>
      </c>
      <c r="CK83" s="28">
        <f>'FY21 Final Initial $$'!CK83/'FY21 FTE'!CK$120</f>
        <v>0</v>
      </c>
      <c r="CL83" s="28">
        <f>'FY21 Final Initial $$'!CL83/'FY21 FTE'!CL$120</f>
        <v>0</v>
      </c>
      <c r="CM83" s="20">
        <v>0</v>
      </c>
      <c r="CN83" s="20">
        <v>0</v>
      </c>
      <c r="CO83" s="20">
        <v>111843.51999999999</v>
      </c>
      <c r="CP83" s="20">
        <v>0</v>
      </c>
      <c r="CQ83" s="28">
        <f>'FY21 Final Initial $$'!CQ83/'FY21 FTE'!CQ$120</f>
        <v>0</v>
      </c>
      <c r="CR83" s="20">
        <v>0</v>
      </c>
      <c r="CS83" s="20">
        <v>3920</v>
      </c>
      <c r="CT83" s="20">
        <v>0</v>
      </c>
      <c r="CU83" s="20">
        <v>19717.555555555555</v>
      </c>
      <c r="CV83" s="28">
        <f>'FY21 Final Initial $$'!CV83/'FY21 FTE'!CV$120</f>
        <v>0</v>
      </c>
      <c r="CW83" s="28">
        <f>'FY21 Final Initial $$'!CW83/'FY21 FTE'!CW$120</f>
        <v>0</v>
      </c>
      <c r="CX83" s="20">
        <v>0</v>
      </c>
      <c r="CY83" s="28">
        <f>'FY21 Final Initial $$'!CY83/'FY21 FTE'!CY$120</f>
        <v>0</v>
      </c>
      <c r="CZ83" s="20">
        <v>0</v>
      </c>
      <c r="DA83" s="20">
        <v>0</v>
      </c>
      <c r="DB83" s="20">
        <v>34600</v>
      </c>
      <c r="DC83" s="20">
        <v>67145.789908241437</v>
      </c>
      <c r="DD83" s="20">
        <v>0</v>
      </c>
      <c r="DE83" s="20">
        <v>0</v>
      </c>
      <c r="DF83" s="20">
        <v>13859</v>
      </c>
      <c r="DG83" s="20">
        <v>0</v>
      </c>
      <c r="DH83" s="28">
        <f>'FY21 Final Initial $$'!DH83/'FY21 FTE'!DH$120</f>
        <v>0</v>
      </c>
      <c r="DI83" s="20"/>
      <c r="DJ83" s="20">
        <v>24375.000154972076</v>
      </c>
      <c r="DK83" s="22">
        <v>0</v>
      </c>
      <c r="DL83" s="20">
        <v>0</v>
      </c>
      <c r="DM83" s="20">
        <v>0</v>
      </c>
      <c r="DN83" s="20">
        <v>4678242.8226523986</v>
      </c>
      <c r="DO83" s="29">
        <f t="shared" si="6"/>
        <v>7</v>
      </c>
      <c r="DP83" s="29">
        <f t="shared" si="6"/>
        <v>7</v>
      </c>
      <c r="DQ83" s="29">
        <f t="shared" si="7"/>
        <v>10.000000000000004</v>
      </c>
      <c r="DR83" s="29">
        <f t="shared" si="8"/>
        <v>7.0454545454545459</v>
      </c>
      <c r="DS83" s="29">
        <f t="shared" si="9"/>
        <v>0</v>
      </c>
    </row>
    <row r="84" spans="1:123" x14ac:dyDescent="0.25">
      <c r="A84" s="18">
        <v>302</v>
      </c>
      <c r="B84" t="s">
        <v>224</v>
      </c>
      <c r="C84" t="s">
        <v>135</v>
      </c>
      <c r="D84">
        <v>4</v>
      </c>
      <c r="E84">
        <v>472</v>
      </c>
      <c r="F84" s="19">
        <f t="shared" si="5"/>
        <v>0.57415254237288138</v>
      </c>
      <c r="G84">
        <v>271</v>
      </c>
      <c r="H84" s="28">
        <f>'FY21 Final Initial $$'!H84/'FY21 FTE'!H$120</f>
        <v>1</v>
      </c>
      <c r="I84" s="28">
        <f>'FY21 Final Initial $$'!I84/'FY21 FTE'!I$120</f>
        <v>1</v>
      </c>
      <c r="J84" s="28">
        <f>'FY21 Final Initial $$'!J84/'FY21 FTE'!J$120</f>
        <v>1.2</v>
      </c>
      <c r="K84" s="28">
        <f>'FY21 Final Initial $$'!K84/'FY21 FTE'!K$120</f>
        <v>0</v>
      </c>
      <c r="L84" s="28">
        <f>'FY21 Final Initial $$'!L84/'FY21 FTE'!L$120</f>
        <v>0</v>
      </c>
      <c r="M84" s="28">
        <f>'FY21 Final Initial $$'!M84/'FY21 FTE'!M$120</f>
        <v>1</v>
      </c>
      <c r="N84" s="28">
        <f>'FY21 Final Initial $$'!N84/'FY21 FTE'!N$120</f>
        <v>1</v>
      </c>
      <c r="O84" s="28">
        <f>'FY21 Final Initial $$'!O84/'FY21 FTE'!O$120</f>
        <v>1.2</v>
      </c>
      <c r="P84" s="28">
        <f>'FY21 Final Initial $$'!P84/'FY21 FTE'!P$120</f>
        <v>0</v>
      </c>
      <c r="Q84" s="28">
        <f>'FY21 Final Initial $$'!Q84/'FY21 FTE'!Q$120</f>
        <v>0</v>
      </c>
      <c r="R84" s="28">
        <f>'FY21 Final Initial $$'!R84/'FY21 FTE'!R$120</f>
        <v>0</v>
      </c>
      <c r="S84" s="28">
        <f>'FY21 Final Initial $$'!S84/'FY21 FTE'!S$120</f>
        <v>1</v>
      </c>
      <c r="T84" s="28">
        <f>'FY21 Final Initial $$'!T84/'FY21 FTE'!T$120</f>
        <v>1</v>
      </c>
      <c r="U84" s="28">
        <f>'FY21 Final Initial $$'!U84/'FY21 FTE'!U$120</f>
        <v>2</v>
      </c>
      <c r="V84" s="28">
        <f>'FY21 Final Initial $$'!V84/'FY21 FTE'!V$120</f>
        <v>1</v>
      </c>
      <c r="W84" s="28">
        <f>'FY21 Final Initial $$'!W84/'FY21 FTE'!W$120</f>
        <v>1</v>
      </c>
      <c r="X84" s="28">
        <f>'FY21 Final Initial $$'!X84/'FY21 FTE'!X$120</f>
        <v>1</v>
      </c>
      <c r="Y84" s="28">
        <f>'FY21 Final Initial $$'!Y84/'FY21 FTE'!Y$120</f>
        <v>1</v>
      </c>
      <c r="Z84" s="28">
        <f>'FY21 Final Initial $$'!Z84/'FY21 FTE'!Z$120</f>
        <v>1.4999999999999973</v>
      </c>
      <c r="AA84" s="28">
        <f>'FY21 Final Initial $$'!AA84/'FY21 FTE'!AA$120</f>
        <v>0.5</v>
      </c>
      <c r="AB84" s="28">
        <f>'FY21 Final Initial $$'!AB84/'FY21 FTE'!AB$120</f>
        <v>3</v>
      </c>
      <c r="AC84" s="28">
        <f>'FY21 Final Initial $$'!AC84/'FY21 FTE'!AC$120</f>
        <v>3</v>
      </c>
      <c r="AD84" s="28">
        <f>'FY21 Final Initial $$'!AD84/'FY21 FTE'!AD$120</f>
        <v>0</v>
      </c>
      <c r="AE84" s="28">
        <f>'FY21 Final Initial $$'!AE84/'FY21 FTE'!AE$120</f>
        <v>0</v>
      </c>
      <c r="AF84" s="28">
        <f>'FY21 Final Initial $$'!AF84/'FY21 FTE'!AF$120</f>
        <v>3</v>
      </c>
      <c r="AG84" s="28">
        <f>'FY21 Final Initial $$'!AG84/'FY21 FTE'!AG$120</f>
        <v>3</v>
      </c>
      <c r="AH84" s="28">
        <f>'FY21 Final Initial $$'!AH84/'FY21 FTE'!AH$120</f>
        <v>3</v>
      </c>
      <c r="AI84" s="28">
        <f>'FY21 Final Initial $$'!AI84/'FY21 FTE'!AI$120</f>
        <v>3</v>
      </c>
      <c r="AJ84" s="28">
        <f>'FY21 Final Initial $$'!AJ84/'FY21 FTE'!AJ$120</f>
        <v>3</v>
      </c>
      <c r="AK84" s="28">
        <f>'FY21 Final Initial $$'!AK84/'FY21 FTE'!AK$120</f>
        <v>3</v>
      </c>
      <c r="AL84" s="28">
        <f>'FY21 Final Initial $$'!AL84/'FY21 FTE'!AL$120</f>
        <v>3</v>
      </c>
      <c r="AM84" s="28">
        <f>'FY21 Final Initial $$'!AM84/'FY21 FTE'!AM$120</f>
        <v>3</v>
      </c>
      <c r="AN84" s="28">
        <f>'FY21 Final Initial $$'!AN84/'FY21 FTE'!AN$120</f>
        <v>3.000000000000004</v>
      </c>
      <c r="AO84" s="28">
        <f>'FY21 Final Initial $$'!AO84/'FY21 FTE'!AO$120</f>
        <v>0</v>
      </c>
      <c r="AP84" s="28">
        <f>'FY21 Final Initial $$'!AP84/'FY21 FTE'!AP$120</f>
        <v>0</v>
      </c>
      <c r="AQ84" s="28">
        <f>'FY21 Final Initial $$'!AQ84/'FY21 FTE'!AQ$120</f>
        <v>2</v>
      </c>
      <c r="AR84" s="28">
        <f>'FY21 Final Initial $$'!AR84/'FY21 FTE'!AR$120</f>
        <v>0</v>
      </c>
      <c r="AS84" s="28">
        <f>'FY21 Final Initial $$'!AS84/'FY21 FTE'!AS$120</f>
        <v>0</v>
      </c>
      <c r="AT84" s="28">
        <f>'FY21 Final Initial $$'!AT84/'FY21 FTE'!AT$120</f>
        <v>0</v>
      </c>
      <c r="AU84" s="28">
        <f>'FY21 Final Initial $$'!AU84/'FY21 FTE'!AU$120</f>
        <v>0</v>
      </c>
      <c r="AV84" s="28">
        <f>'FY21 Final Initial $$'!AV84/'FY21 FTE'!AV$120</f>
        <v>0</v>
      </c>
      <c r="AW84" s="28">
        <f>'FY21 Final Initial $$'!AW84/'FY21 FTE'!AW$120</f>
        <v>0</v>
      </c>
      <c r="AX84" s="28">
        <f>'FY21 Final Initial $$'!AX84/'FY21 FTE'!AX$120</f>
        <v>0</v>
      </c>
      <c r="AY84" s="28">
        <f>'FY21 Final Initial $$'!AY84/'FY21 FTE'!AY$120</f>
        <v>1</v>
      </c>
      <c r="AZ84" s="28">
        <f>'FY21 Final Initial $$'!AZ84/'FY21 FTE'!AZ$120</f>
        <v>1</v>
      </c>
      <c r="BA84" s="28">
        <f>'FY21 Final Initial $$'!BA84/'FY21 FTE'!BA$120</f>
        <v>8</v>
      </c>
      <c r="BB84" s="28">
        <f>'FY21 Final Initial $$'!BB84/'FY21 FTE'!BB$120</f>
        <v>6</v>
      </c>
      <c r="BC84" s="28">
        <f>'FY21 Final Initial $$'!BC84/'FY21 FTE'!BC$120</f>
        <v>0</v>
      </c>
      <c r="BD84" s="28">
        <f>'FY21 Final Initial $$'!BD84/'FY21 FTE'!BD$120</f>
        <v>0</v>
      </c>
      <c r="BE84" s="28">
        <f>'FY21 Final Initial $$'!BE84/'FY21 FTE'!BE$120</f>
        <v>13</v>
      </c>
      <c r="BF84" s="28">
        <f>'FY21 Final Initial $$'!BF84/'FY21 FTE'!BF$120</f>
        <v>0</v>
      </c>
      <c r="BG84" s="28">
        <f>'FY21 Final Initial $$'!BG84/'FY21 FTE'!BG$120</f>
        <v>2</v>
      </c>
      <c r="BH84" s="28">
        <f>'FY21 Final Initial $$'!BH84/'FY21 FTE'!BH$120</f>
        <v>5</v>
      </c>
      <c r="BI84" s="28">
        <f>'FY21 Final Initial $$'!BI84/'FY21 FTE'!BI$120</f>
        <v>5</v>
      </c>
      <c r="BJ84" s="28">
        <f>'FY21 Final Initial $$'!BJ84/'FY21 FTE'!BJ$120</f>
        <v>0</v>
      </c>
      <c r="BK84" s="20">
        <v>0</v>
      </c>
      <c r="BL84" s="20"/>
      <c r="BM84" s="20"/>
      <c r="BN84" s="20">
        <v>158655.04999999999</v>
      </c>
      <c r="BO84" s="20">
        <v>2561.1799999999998</v>
      </c>
      <c r="BP84" s="20">
        <v>0</v>
      </c>
      <c r="BQ84" s="28">
        <f>'FY21 Final Initial $$'!BQ84/'FY21 FTE'!BQ$120</f>
        <v>0</v>
      </c>
      <c r="BR84" s="28">
        <f>'FY21 Final Initial $$'!BR84/'FY21 FTE'!BR$120</f>
        <v>0</v>
      </c>
      <c r="BS84" s="28">
        <f>'FY21 Final Initial $$'!BS84/'FY21 FTE'!BS$120</f>
        <v>0</v>
      </c>
      <c r="BT84" s="28">
        <f>'FY21 Final Initial $$'!BT84/'FY21 FTE'!BT$120</f>
        <v>0</v>
      </c>
      <c r="BU84" s="28">
        <f>'FY21 Final Initial $$'!BU84/'FY21 FTE'!BU$120</f>
        <v>0</v>
      </c>
      <c r="BV84" s="28">
        <f>'FY21 Final Initial $$'!BV84/'FY21 FTE'!BV$120</f>
        <v>0</v>
      </c>
      <c r="BW84" s="28">
        <f>'FY21 Final Initial $$'!BW84/'FY21 FTE'!BW$120</f>
        <v>0</v>
      </c>
      <c r="BX84" s="20">
        <v>0</v>
      </c>
      <c r="BY84" s="20">
        <v>0</v>
      </c>
      <c r="BZ84" s="20">
        <v>0</v>
      </c>
      <c r="CA84" s="20">
        <v>0</v>
      </c>
      <c r="CB84" s="28">
        <f>'FY21 Final Initial $$'!CB84/'FY21 FTE'!CB$120</f>
        <v>0</v>
      </c>
      <c r="CC84" s="28">
        <f>'FY21 Final Initial $$'!CC84/'FY21 FTE'!CC$120</f>
        <v>0</v>
      </c>
      <c r="CD84" s="20">
        <v>0</v>
      </c>
      <c r="CE84" s="28">
        <f>'FY21 Final Initial $$'!CE84/'FY21 FTE'!CE$120</f>
        <v>0</v>
      </c>
      <c r="CF84" s="28">
        <f>'FY21 Final Initial $$'!CF84/'FY21 FTE'!CF$120</f>
        <v>0</v>
      </c>
      <c r="CG84" s="28">
        <f>'FY21 Final Initial $$'!CG84/'FY21 FTE'!CG$120</f>
        <v>0</v>
      </c>
      <c r="CH84" s="28">
        <f>'FY21 Final Initial $$'!CH84/'FY21 FTE'!CH$120</f>
        <v>0</v>
      </c>
      <c r="CI84" s="28">
        <f>'FY21 Final Initial $$'!CI84/'FY21 FTE'!CI$120</f>
        <v>0</v>
      </c>
      <c r="CJ84" s="28">
        <f>'FY21 Final Initial $$'!CJ84/'FY21 FTE'!CJ$120</f>
        <v>0</v>
      </c>
      <c r="CK84" s="28">
        <f>'FY21 Final Initial $$'!CK84/'FY21 FTE'!CK$120</f>
        <v>0</v>
      </c>
      <c r="CL84" s="28">
        <f>'FY21 Final Initial $$'!CL84/'FY21 FTE'!CL$120</f>
        <v>0</v>
      </c>
      <c r="CM84" s="20">
        <v>0</v>
      </c>
      <c r="CN84" s="20">
        <v>0</v>
      </c>
      <c r="CO84" s="20">
        <v>111843.51999999999</v>
      </c>
      <c r="CP84" s="20">
        <v>0</v>
      </c>
      <c r="CQ84" s="28">
        <f>'FY21 Final Initial $$'!CQ84/'FY21 FTE'!CQ$120</f>
        <v>0</v>
      </c>
      <c r="CR84" s="20">
        <v>0</v>
      </c>
      <c r="CS84" s="20">
        <v>5420</v>
      </c>
      <c r="CT84" s="20">
        <v>0</v>
      </c>
      <c r="CU84" s="20">
        <v>24720.363636363636</v>
      </c>
      <c r="CV84" s="28">
        <f>'FY21 Final Initial $$'!CV84/'FY21 FTE'!CV$120</f>
        <v>0</v>
      </c>
      <c r="CW84" s="28">
        <f>'FY21 Final Initial $$'!CW84/'FY21 FTE'!CW$120</f>
        <v>0</v>
      </c>
      <c r="CX84" s="20">
        <v>0</v>
      </c>
      <c r="CY84" s="28">
        <f>'FY21 Final Initial $$'!CY84/'FY21 FTE'!CY$120</f>
        <v>0</v>
      </c>
      <c r="CZ84" s="20">
        <v>0</v>
      </c>
      <c r="DA84" s="20">
        <v>0</v>
      </c>
      <c r="DB84" s="20">
        <v>47200</v>
      </c>
      <c r="DC84" s="20">
        <v>124747.84596025701</v>
      </c>
      <c r="DD84" s="20">
        <v>0</v>
      </c>
      <c r="DE84" s="20">
        <v>0</v>
      </c>
      <c r="DF84" s="20">
        <v>0</v>
      </c>
      <c r="DG84" s="20">
        <v>0</v>
      </c>
      <c r="DH84" s="28">
        <f>'FY21 Final Initial $$'!DH84/'FY21 FTE'!DH$120</f>
        <v>0</v>
      </c>
      <c r="DI84" s="20"/>
      <c r="DJ84" s="20">
        <v>26949.999500066042</v>
      </c>
      <c r="DK84" s="22">
        <v>0</v>
      </c>
      <c r="DL84" s="20">
        <v>0</v>
      </c>
      <c r="DM84" s="20">
        <v>50000</v>
      </c>
      <c r="DN84" s="20">
        <v>8411391.3727772497</v>
      </c>
      <c r="DO84" s="29">
        <f t="shared" si="6"/>
        <v>9</v>
      </c>
      <c r="DP84" s="29">
        <f t="shared" si="6"/>
        <v>9</v>
      </c>
      <c r="DQ84" s="29">
        <f t="shared" si="7"/>
        <v>17.000000000000004</v>
      </c>
      <c r="DR84" s="29">
        <f t="shared" si="8"/>
        <v>25</v>
      </c>
      <c r="DS84" s="29">
        <f t="shared" si="9"/>
        <v>6</v>
      </c>
    </row>
    <row r="85" spans="1:123" x14ac:dyDescent="0.25">
      <c r="A85" s="18">
        <v>304</v>
      </c>
      <c r="B85" t="s">
        <v>225</v>
      </c>
      <c r="C85" t="s">
        <v>226</v>
      </c>
      <c r="D85">
        <v>7</v>
      </c>
      <c r="E85">
        <v>127</v>
      </c>
      <c r="F85" s="19">
        <f t="shared" si="5"/>
        <v>0.48031496062992124</v>
      </c>
      <c r="G85">
        <v>61</v>
      </c>
      <c r="H85" s="28">
        <f>'FY21 Final Initial $$'!H85/'FY21 FTE'!H$120</f>
        <v>1</v>
      </c>
      <c r="I85" s="28">
        <f>'FY21 Final Initial $$'!I85/'FY21 FTE'!I$120</f>
        <v>1</v>
      </c>
      <c r="J85" s="28">
        <f>'FY21 Final Initial $$'!J85/'FY21 FTE'!J$120</f>
        <v>0</v>
      </c>
      <c r="K85" s="28">
        <f>'FY21 Final Initial $$'!K85/'FY21 FTE'!K$120</f>
        <v>0</v>
      </c>
      <c r="L85" s="28">
        <f>'FY21 Final Initial $$'!L85/'FY21 FTE'!L$120</f>
        <v>0</v>
      </c>
      <c r="M85" s="28">
        <f>'FY21 Final Initial $$'!M85/'FY21 FTE'!M$120</f>
        <v>0.5</v>
      </c>
      <c r="N85" s="28">
        <f>'FY21 Final Initial $$'!N85/'FY21 FTE'!N$120</f>
        <v>1</v>
      </c>
      <c r="O85" s="28">
        <f>'FY21 Final Initial $$'!O85/'FY21 FTE'!O$120</f>
        <v>0</v>
      </c>
      <c r="P85" s="28">
        <f>'FY21 Final Initial $$'!P85/'FY21 FTE'!P$120</f>
        <v>0</v>
      </c>
      <c r="Q85" s="28">
        <f>'FY21 Final Initial $$'!Q85/'FY21 FTE'!Q$120</f>
        <v>0</v>
      </c>
      <c r="R85" s="28">
        <f>'FY21 Final Initial $$'!R85/'FY21 FTE'!R$120</f>
        <v>0</v>
      </c>
      <c r="S85" s="28">
        <f>'FY21 Final Initial $$'!S85/'FY21 FTE'!S$120</f>
        <v>1</v>
      </c>
      <c r="T85" s="28">
        <f>'FY21 Final Initial $$'!T85/'FY21 FTE'!T$120</f>
        <v>1</v>
      </c>
      <c r="U85" s="28">
        <f>'FY21 Final Initial $$'!U85/'FY21 FTE'!U$120</f>
        <v>1</v>
      </c>
      <c r="V85" s="28">
        <f>'FY21 Final Initial $$'!V85/'FY21 FTE'!V$120</f>
        <v>0.5</v>
      </c>
      <c r="W85" s="28">
        <f>'FY21 Final Initial $$'!W85/'FY21 FTE'!W$120</f>
        <v>1</v>
      </c>
      <c r="X85" s="28">
        <f>'FY21 Final Initial $$'!X85/'FY21 FTE'!X$120</f>
        <v>1</v>
      </c>
      <c r="Y85" s="28">
        <f>'FY21 Final Initial $$'!Y85/'FY21 FTE'!Y$120</f>
        <v>1</v>
      </c>
      <c r="Z85" s="28">
        <f>'FY21 Final Initial $$'!Z85/'FY21 FTE'!Z$120</f>
        <v>0</v>
      </c>
      <c r="AA85" s="28">
        <f>'FY21 Final Initial $$'!AA85/'FY21 FTE'!AA$120</f>
        <v>0</v>
      </c>
      <c r="AB85" s="28">
        <f>'FY21 Final Initial $$'!AB85/'FY21 FTE'!AB$120</f>
        <v>0</v>
      </c>
      <c r="AC85" s="28">
        <f>'FY21 Final Initial $$'!AC85/'FY21 FTE'!AC$120</f>
        <v>0</v>
      </c>
      <c r="AD85" s="28">
        <f>'FY21 Final Initial $$'!AD85/'FY21 FTE'!AD$120</f>
        <v>0</v>
      </c>
      <c r="AE85" s="28">
        <f>'FY21 Final Initial $$'!AE85/'FY21 FTE'!AE$120</f>
        <v>0</v>
      </c>
      <c r="AF85" s="28">
        <f>'FY21 Final Initial $$'!AF85/'FY21 FTE'!AF$120</f>
        <v>0</v>
      </c>
      <c r="AG85" s="28">
        <f>'FY21 Final Initial $$'!AG85/'FY21 FTE'!AG$120</f>
        <v>0</v>
      </c>
      <c r="AH85" s="28">
        <f>'FY21 Final Initial $$'!AH85/'FY21 FTE'!AH$120</f>
        <v>0</v>
      </c>
      <c r="AI85" s="28">
        <f>'FY21 Final Initial $$'!AI85/'FY21 FTE'!AI$120</f>
        <v>0</v>
      </c>
      <c r="AJ85" s="28">
        <f>'FY21 Final Initial $$'!AJ85/'FY21 FTE'!AJ$120</f>
        <v>0</v>
      </c>
      <c r="AK85" s="28">
        <f>'FY21 Final Initial $$'!AK85/'FY21 FTE'!AK$120</f>
        <v>0</v>
      </c>
      <c r="AL85" s="28">
        <f>'FY21 Final Initial $$'!AL85/'FY21 FTE'!AL$120</f>
        <v>0</v>
      </c>
      <c r="AM85" s="28">
        <f>'FY21 Final Initial $$'!AM85/'FY21 FTE'!AM$120</f>
        <v>0</v>
      </c>
      <c r="AN85" s="28">
        <f>'FY21 Final Initial $$'!AN85/'FY21 FTE'!AN$120</f>
        <v>0</v>
      </c>
      <c r="AO85" s="28">
        <f>'FY21 Final Initial $$'!AO85/'FY21 FTE'!AO$120</f>
        <v>0</v>
      </c>
      <c r="AP85" s="28">
        <f>'FY21 Final Initial $$'!AP85/'FY21 FTE'!AP$120</f>
        <v>0</v>
      </c>
      <c r="AQ85" s="28">
        <f>'FY21 Final Initial $$'!AQ85/'FY21 FTE'!AQ$120</f>
        <v>0</v>
      </c>
      <c r="AR85" s="28">
        <f>'FY21 Final Initial $$'!AR85/'FY21 FTE'!AR$120</f>
        <v>0</v>
      </c>
      <c r="AS85" s="28">
        <f>'FY21 Final Initial $$'!AS85/'FY21 FTE'!AS$120</f>
        <v>0</v>
      </c>
      <c r="AT85" s="28">
        <f>'FY21 Final Initial $$'!AT85/'FY21 FTE'!AT$120</f>
        <v>0</v>
      </c>
      <c r="AU85" s="28">
        <f>'FY21 Final Initial $$'!AU85/'FY21 FTE'!AU$120</f>
        <v>0</v>
      </c>
      <c r="AV85" s="28">
        <f>'FY21 Final Initial $$'!AV85/'FY21 FTE'!AV$120</f>
        <v>5.3</v>
      </c>
      <c r="AW85" s="28">
        <f>'FY21 Final Initial $$'!AW85/'FY21 FTE'!AW$120</f>
        <v>0</v>
      </c>
      <c r="AX85" s="28">
        <f>'FY21 Final Initial $$'!AX85/'FY21 FTE'!AX$120</f>
        <v>0</v>
      </c>
      <c r="AY85" s="28">
        <f>'FY21 Final Initial $$'!AY85/'FY21 FTE'!AY$120</f>
        <v>1</v>
      </c>
      <c r="AZ85" s="28">
        <f>'FY21 Final Initial $$'!AZ85/'FY21 FTE'!AZ$120</f>
        <v>0.5</v>
      </c>
      <c r="BA85" s="28">
        <f>'FY21 Final Initial $$'!BA85/'FY21 FTE'!BA$120</f>
        <v>21</v>
      </c>
      <c r="BB85" s="28">
        <f>'FY21 Final Initial $$'!BB85/'FY21 FTE'!BB$120</f>
        <v>23</v>
      </c>
      <c r="BC85" s="28">
        <f>'FY21 Final Initial $$'!BC85/'FY21 FTE'!BC$120</f>
        <v>2</v>
      </c>
      <c r="BD85" s="28">
        <f>'FY21 Final Initial $$'!BD85/'FY21 FTE'!BD$120</f>
        <v>0</v>
      </c>
      <c r="BE85" s="28">
        <f>'FY21 Final Initial $$'!BE85/'FY21 FTE'!BE$120</f>
        <v>1</v>
      </c>
      <c r="BF85" s="28">
        <f>'FY21 Final Initial $$'!BF85/'FY21 FTE'!BF$120</f>
        <v>0</v>
      </c>
      <c r="BG85" s="28">
        <f>'FY21 Final Initial $$'!BG85/'FY21 FTE'!BG$120</f>
        <v>0</v>
      </c>
      <c r="BH85" s="28">
        <f>'FY21 Final Initial $$'!BH85/'FY21 FTE'!BH$120</f>
        <v>2</v>
      </c>
      <c r="BI85" s="28">
        <f>'FY21 Final Initial $$'!BI85/'FY21 FTE'!BI$120</f>
        <v>3</v>
      </c>
      <c r="BJ85" s="28">
        <f>'FY21 Final Initial $$'!BJ85/'FY21 FTE'!BJ$120</f>
        <v>0</v>
      </c>
      <c r="BK85" s="20">
        <v>0</v>
      </c>
      <c r="BL85" s="20"/>
      <c r="BM85" s="20"/>
      <c r="BN85" s="20">
        <v>55402.73</v>
      </c>
      <c r="BO85" s="20">
        <v>916.58</v>
      </c>
      <c r="BP85" s="20">
        <v>0</v>
      </c>
      <c r="BQ85" s="28">
        <f>'FY21 Final Initial $$'!BQ85/'FY21 FTE'!BQ$120</f>
        <v>0</v>
      </c>
      <c r="BR85" s="28">
        <f>'FY21 Final Initial $$'!BR85/'FY21 FTE'!BR$120</f>
        <v>0</v>
      </c>
      <c r="BS85" s="28">
        <f>'FY21 Final Initial $$'!BS85/'FY21 FTE'!BS$120</f>
        <v>0</v>
      </c>
      <c r="BT85" s="28">
        <f>'FY21 Final Initial $$'!BT85/'FY21 FTE'!BT$120</f>
        <v>0</v>
      </c>
      <c r="BU85" s="28">
        <f>'FY21 Final Initial $$'!BU85/'FY21 FTE'!BU$120</f>
        <v>0</v>
      </c>
      <c r="BV85" s="28">
        <f>'FY21 Final Initial $$'!BV85/'FY21 FTE'!BV$120</f>
        <v>0</v>
      </c>
      <c r="BW85" s="28">
        <f>'FY21 Final Initial $$'!BW85/'FY21 FTE'!BW$120</f>
        <v>0</v>
      </c>
      <c r="BX85" s="20">
        <v>0</v>
      </c>
      <c r="BY85" s="20">
        <v>0</v>
      </c>
      <c r="BZ85" s="20">
        <v>0</v>
      </c>
      <c r="CA85" s="20">
        <v>0</v>
      </c>
      <c r="CB85" s="28">
        <f>'FY21 Final Initial $$'!CB85/'FY21 FTE'!CB$120</f>
        <v>0</v>
      </c>
      <c r="CC85" s="28">
        <f>'FY21 Final Initial $$'!CC85/'FY21 FTE'!CC$120</f>
        <v>0</v>
      </c>
      <c r="CD85" s="20">
        <v>0</v>
      </c>
      <c r="CE85" s="28">
        <f>'FY21 Final Initial $$'!CE85/'FY21 FTE'!CE$120</f>
        <v>0</v>
      </c>
      <c r="CF85" s="28">
        <f>'FY21 Final Initial $$'!CF85/'FY21 FTE'!CF$120</f>
        <v>0</v>
      </c>
      <c r="CG85" s="28">
        <f>'FY21 Final Initial $$'!CG85/'FY21 FTE'!CG$120</f>
        <v>0</v>
      </c>
      <c r="CH85" s="28">
        <f>'FY21 Final Initial $$'!CH85/'FY21 FTE'!CH$120</f>
        <v>0</v>
      </c>
      <c r="CI85" s="28">
        <f>'FY21 Final Initial $$'!CI85/'FY21 FTE'!CI$120</f>
        <v>0</v>
      </c>
      <c r="CJ85" s="28">
        <f>'FY21 Final Initial $$'!CJ85/'FY21 FTE'!CJ$120</f>
        <v>0</v>
      </c>
      <c r="CK85" s="28">
        <f>'FY21 Final Initial $$'!CK85/'FY21 FTE'!CK$120</f>
        <v>2</v>
      </c>
      <c r="CL85" s="28">
        <f>'FY21 Final Initial $$'!CL85/'FY21 FTE'!CL$120</f>
        <v>0</v>
      </c>
      <c r="CM85" s="20">
        <v>23000</v>
      </c>
      <c r="CN85" s="20">
        <v>5000</v>
      </c>
      <c r="CO85" s="20">
        <v>111843.51999999999</v>
      </c>
      <c r="CP85" s="20">
        <v>100000</v>
      </c>
      <c r="CQ85" s="28">
        <f>'FY21 Final Initial $$'!CQ85/'FY21 FTE'!CQ$120</f>
        <v>0</v>
      </c>
      <c r="CR85" s="20">
        <v>0</v>
      </c>
      <c r="CS85" s="20">
        <v>1220</v>
      </c>
      <c r="CT85" s="20">
        <v>0</v>
      </c>
      <c r="CU85" s="20">
        <v>13628.475</v>
      </c>
      <c r="CV85" s="28">
        <f>'FY21 Final Initial $$'!CV85/'FY21 FTE'!CV$120</f>
        <v>0</v>
      </c>
      <c r="CW85" s="28">
        <f>'FY21 Final Initial $$'!CW85/'FY21 FTE'!CW$120</f>
        <v>0</v>
      </c>
      <c r="CX85" s="20">
        <v>0</v>
      </c>
      <c r="CY85" s="28">
        <f>'FY21 Final Initial $$'!CY85/'FY21 FTE'!CY$120</f>
        <v>0</v>
      </c>
      <c r="CZ85" s="20">
        <v>0</v>
      </c>
      <c r="DA85" s="20">
        <v>0</v>
      </c>
      <c r="DB85" s="20">
        <v>12700</v>
      </c>
      <c r="DC85" s="20">
        <v>86348.529871531602</v>
      </c>
      <c r="DD85" s="20">
        <v>0</v>
      </c>
      <c r="DE85" s="20">
        <v>0</v>
      </c>
      <c r="DF85" s="20">
        <v>0</v>
      </c>
      <c r="DG85" s="20">
        <v>0</v>
      </c>
      <c r="DH85" s="28">
        <f>'FY21 Final Initial $$'!DH85/'FY21 FTE'!DH$120</f>
        <v>0</v>
      </c>
      <c r="DI85" s="20"/>
      <c r="DJ85" s="20">
        <v>7053</v>
      </c>
      <c r="DK85" s="22">
        <v>0</v>
      </c>
      <c r="DL85" s="20">
        <v>0</v>
      </c>
      <c r="DM85" s="20">
        <v>0</v>
      </c>
      <c r="DN85" s="20">
        <v>5734075.5598113826</v>
      </c>
      <c r="DO85" s="29">
        <f t="shared" si="6"/>
        <v>0</v>
      </c>
      <c r="DP85" s="29">
        <f t="shared" si="6"/>
        <v>0</v>
      </c>
      <c r="DQ85" s="29">
        <f t="shared" si="7"/>
        <v>5.3</v>
      </c>
      <c r="DR85" s="29">
        <f t="shared" si="8"/>
        <v>23.5</v>
      </c>
      <c r="DS85" s="29">
        <f t="shared" si="9"/>
        <v>23</v>
      </c>
    </row>
    <row r="86" spans="1:123" x14ac:dyDescent="0.25">
      <c r="A86" s="18">
        <v>436</v>
      </c>
      <c r="B86" t="s">
        <v>227</v>
      </c>
      <c r="C86" t="s">
        <v>138</v>
      </c>
      <c r="D86">
        <v>7</v>
      </c>
      <c r="E86">
        <v>276</v>
      </c>
      <c r="F86" s="19">
        <f t="shared" si="5"/>
        <v>0.94565217391304346</v>
      </c>
      <c r="G86">
        <v>261</v>
      </c>
      <c r="H86" s="28">
        <f>'FY21 Final Initial $$'!H86/'FY21 FTE'!H$120</f>
        <v>1</v>
      </c>
      <c r="I86" s="28">
        <f>'FY21 Final Initial $$'!I86/'FY21 FTE'!I$120</f>
        <v>1</v>
      </c>
      <c r="J86" s="28">
        <f>'FY21 Final Initial $$'!J86/'FY21 FTE'!J$120</f>
        <v>0.89999999999999991</v>
      </c>
      <c r="K86" s="28">
        <f>'FY21 Final Initial $$'!K86/'FY21 FTE'!K$120</f>
        <v>0</v>
      </c>
      <c r="L86" s="28">
        <f>'FY21 Final Initial $$'!L86/'FY21 FTE'!L$120</f>
        <v>1.5000000000000002</v>
      </c>
      <c r="M86" s="28">
        <f>'FY21 Final Initial $$'!M86/'FY21 FTE'!M$120</f>
        <v>0.5</v>
      </c>
      <c r="N86" s="28">
        <f>'FY21 Final Initial $$'!N86/'FY21 FTE'!N$120</f>
        <v>1</v>
      </c>
      <c r="O86" s="28">
        <f>'FY21 Final Initial $$'!O86/'FY21 FTE'!O$120</f>
        <v>0</v>
      </c>
      <c r="P86" s="28">
        <f>'FY21 Final Initial $$'!P86/'FY21 FTE'!P$120</f>
        <v>1</v>
      </c>
      <c r="Q86" s="28">
        <f>'FY21 Final Initial $$'!Q86/'FY21 FTE'!Q$120</f>
        <v>1.0000004487061702</v>
      </c>
      <c r="R86" s="28">
        <f>'FY21 Final Initial $$'!R86/'FY21 FTE'!R$120</f>
        <v>0</v>
      </c>
      <c r="S86" s="28">
        <f>'FY21 Final Initial $$'!S86/'FY21 FTE'!S$120</f>
        <v>1</v>
      </c>
      <c r="T86" s="28">
        <f>'FY21 Final Initial $$'!T86/'FY21 FTE'!T$120</f>
        <v>1</v>
      </c>
      <c r="U86" s="28">
        <f>'FY21 Final Initial $$'!U86/'FY21 FTE'!U$120</f>
        <v>4</v>
      </c>
      <c r="V86" s="28">
        <f>'FY21 Final Initial $$'!V86/'FY21 FTE'!V$120</f>
        <v>0.5</v>
      </c>
      <c r="W86" s="28">
        <f>'FY21 Final Initial $$'!W86/'FY21 FTE'!W$120</f>
        <v>0</v>
      </c>
      <c r="X86" s="28">
        <f>'FY21 Final Initial $$'!X86/'FY21 FTE'!X$120</f>
        <v>0</v>
      </c>
      <c r="Y86" s="28">
        <f>'FY21 Final Initial $$'!Y86/'FY21 FTE'!Y$120</f>
        <v>0</v>
      </c>
      <c r="Z86" s="28">
        <f>'FY21 Final Initial $$'!Z86/'FY21 FTE'!Z$120</f>
        <v>0</v>
      </c>
      <c r="AA86" s="28">
        <f>'FY21 Final Initial $$'!AA86/'FY21 FTE'!AA$120</f>
        <v>0</v>
      </c>
      <c r="AB86" s="28">
        <f>'FY21 Final Initial $$'!AB86/'FY21 FTE'!AB$120</f>
        <v>0</v>
      </c>
      <c r="AC86" s="28">
        <f>'FY21 Final Initial $$'!AC86/'FY21 FTE'!AC$120</f>
        <v>0</v>
      </c>
      <c r="AD86" s="28">
        <f>'FY21 Final Initial $$'!AD86/'FY21 FTE'!AD$120</f>
        <v>0</v>
      </c>
      <c r="AE86" s="28">
        <f>'FY21 Final Initial $$'!AE86/'FY21 FTE'!AE$120</f>
        <v>0</v>
      </c>
      <c r="AF86" s="28">
        <f>'FY21 Final Initial $$'!AF86/'FY21 FTE'!AF$120</f>
        <v>0</v>
      </c>
      <c r="AG86" s="28">
        <f>'FY21 Final Initial $$'!AG86/'FY21 FTE'!AG$120</f>
        <v>0</v>
      </c>
      <c r="AH86" s="28">
        <f>'FY21 Final Initial $$'!AH86/'FY21 FTE'!AH$120</f>
        <v>0</v>
      </c>
      <c r="AI86" s="28">
        <f>'FY21 Final Initial $$'!AI86/'FY21 FTE'!AI$120</f>
        <v>0</v>
      </c>
      <c r="AJ86" s="28">
        <f>'FY21 Final Initial $$'!AJ86/'FY21 FTE'!AJ$120</f>
        <v>0</v>
      </c>
      <c r="AK86" s="28">
        <f>'FY21 Final Initial $$'!AK86/'FY21 FTE'!AK$120</f>
        <v>0</v>
      </c>
      <c r="AL86" s="28">
        <f>'FY21 Final Initial $$'!AL86/'FY21 FTE'!AL$120</f>
        <v>0</v>
      </c>
      <c r="AM86" s="28">
        <f>'FY21 Final Initial $$'!AM86/'FY21 FTE'!AM$120</f>
        <v>0</v>
      </c>
      <c r="AN86" s="28">
        <f>'FY21 Final Initial $$'!AN86/'FY21 FTE'!AN$120</f>
        <v>0</v>
      </c>
      <c r="AO86" s="28">
        <f>'FY21 Final Initial $$'!AO86/'FY21 FTE'!AO$120</f>
        <v>0</v>
      </c>
      <c r="AP86" s="28">
        <f>'FY21 Final Initial $$'!AP86/'FY21 FTE'!AP$120</f>
        <v>0</v>
      </c>
      <c r="AQ86" s="28">
        <f>'FY21 Final Initial $$'!AQ86/'FY21 FTE'!AQ$120</f>
        <v>0</v>
      </c>
      <c r="AR86" s="28">
        <f>'FY21 Final Initial $$'!AR86/'FY21 FTE'!AR$120</f>
        <v>0</v>
      </c>
      <c r="AS86" s="28">
        <f>'FY21 Final Initial $$'!AS86/'FY21 FTE'!AS$120</f>
        <v>0</v>
      </c>
      <c r="AT86" s="28">
        <f>'FY21 Final Initial $$'!AT86/'FY21 FTE'!AT$120</f>
        <v>0</v>
      </c>
      <c r="AU86" s="28">
        <f>'FY21 Final Initial $$'!AU86/'FY21 FTE'!AU$120</f>
        <v>0</v>
      </c>
      <c r="AV86" s="28">
        <f>'FY21 Final Initial $$'!AV86/'FY21 FTE'!AV$120</f>
        <v>0</v>
      </c>
      <c r="AW86" s="28">
        <f>'FY21 Final Initial $$'!AW86/'FY21 FTE'!AW$120</f>
        <v>11.5</v>
      </c>
      <c r="AX86" s="28">
        <f>'FY21 Final Initial $$'!AX86/'FY21 FTE'!AX$120</f>
        <v>8.562774139693845</v>
      </c>
      <c r="AY86" s="28">
        <f>'FY21 Final Initial $$'!AY86/'FY21 FTE'!AY$120</f>
        <v>1.5</v>
      </c>
      <c r="AZ86" s="28">
        <f>'FY21 Final Initial $$'!AZ86/'FY21 FTE'!AZ$120</f>
        <v>2</v>
      </c>
      <c r="BA86" s="28">
        <f>'FY21 Final Initial $$'!BA86/'FY21 FTE'!BA$120</f>
        <v>7</v>
      </c>
      <c r="BB86" s="28">
        <f>'FY21 Final Initial $$'!BB86/'FY21 FTE'!BB$120</f>
        <v>0</v>
      </c>
      <c r="BC86" s="28">
        <f>'FY21 Final Initial $$'!BC86/'FY21 FTE'!BC$120</f>
        <v>0</v>
      </c>
      <c r="BD86" s="28">
        <f>'FY21 Final Initial $$'!BD86/'FY21 FTE'!BD$120</f>
        <v>0</v>
      </c>
      <c r="BE86" s="28">
        <f>'FY21 Final Initial $$'!BE86/'FY21 FTE'!BE$120</f>
        <v>9.0909090909090912E-2</v>
      </c>
      <c r="BF86" s="28">
        <f>'FY21 Final Initial $$'!BF86/'FY21 FTE'!BF$120</f>
        <v>0</v>
      </c>
      <c r="BG86" s="28">
        <f>'FY21 Final Initial $$'!BG86/'FY21 FTE'!BG$120</f>
        <v>0</v>
      </c>
      <c r="BH86" s="28">
        <f>'FY21 Final Initial $$'!BH86/'FY21 FTE'!BH$120</f>
        <v>0</v>
      </c>
      <c r="BI86" s="28">
        <f>'FY21 Final Initial $$'!BI86/'FY21 FTE'!BI$120</f>
        <v>0</v>
      </c>
      <c r="BJ86" s="28">
        <f>'FY21 Final Initial $$'!BJ86/'FY21 FTE'!BJ$120</f>
        <v>0</v>
      </c>
      <c r="BK86" s="20">
        <v>50000</v>
      </c>
      <c r="BL86" s="20"/>
      <c r="BM86" s="20"/>
      <c r="BN86" s="20">
        <v>107396.06</v>
      </c>
      <c r="BO86" s="20">
        <v>1776.75</v>
      </c>
      <c r="BP86" s="20">
        <v>0</v>
      </c>
      <c r="BQ86" s="28">
        <f>'FY21 Final Initial $$'!BQ86/'FY21 FTE'!BQ$120</f>
        <v>0</v>
      </c>
      <c r="BR86" s="28">
        <f>'FY21 Final Initial $$'!BR86/'FY21 FTE'!BR$120</f>
        <v>0</v>
      </c>
      <c r="BS86" s="28">
        <f>'FY21 Final Initial $$'!BS86/'FY21 FTE'!BS$120</f>
        <v>0</v>
      </c>
      <c r="BT86" s="28">
        <f>'FY21 Final Initial $$'!BT86/'FY21 FTE'!BT$120</f>
        <v>1</v>
      </c>
      <c r="BU86" s="28">
        <f>'FY21 Final Initial $$'!BU86/'FY21 FTE'!BU$120</f>
        <v>0</v>
      </c>
      <c r="BV86" s="28">
        <f>'FY21 Final Initial $$'!BV86/'FY21 FTE'!BV$120</f>
        <v>0</v>
      </c>
      <c r="BW86" s="28">
        <f>'FY21 Final Initial $$'!BW86/'FY21 FTE'!BW$120</f>
        <v>1</v>
      </c>
      <c r="BX86" s="20">
        <v>11199.78</v>
      </c>
      <c r="BY86" s="20">
        <v>24000</v>
      </c>
      <c r="BZ86" s="20">
        <v>0</v>
      </c>
      <c r="CA86" s="20">
        <v>0</v>
      </c>
      <c r="CB86" s="28">
        <f>'FY21 Final Initial $$'!CB86/'FY21 FTE'!CB$120</f>
        <v>0</v>
      </c>
      <c r="CC86" s="28">
        <f>'FY21 Final Initial $$'!CC86/'FY21 FTE'!CC$120</f>
        <v>0</v>
      </c>
      <c r="CD86" s="20">
        <v>38000</v>
      </c>
      <c r="CE86" s="28">
        <f>'FY21 Final Initial $$'!CE86/'FY21 FTE'!CE$120</f>
        <v>2</v>
      </c>
      <c r="CF86" s="28">
        <f>'FY21 Final Initial $$'!CF86/'FY21 FTE'!CF$120</f>
        <v>0</v>
      </c>
      <c r="CG86" s="28">
        <f>'FY21 Final Initial $$'!CG86/'FY21 FTE'!CG$120</f>
        <v>0</v>
      </c>
      <c r="CH86" s="28">
        <f>'FY21 Final Initial $$'!CH86/'FY21 FTE'!CH$120</f>
        <v>0</v>
      </c>
      <c r="CI86" s="28">
        <f>'FY21 Final Initial $$'!CI86/'FY21 FTE'!CI$120</f>
        <v>0</v>
      </c>
      <c r="CJ86" s="28">
        <f>'FY21 Final Initial $$'!CJ86/'FY21 FTE'!CJ$120</f>
        <v>0</v>
      </c>
      <c r="CK86" s="28">
        <f>'FY21 Final Initial $$'!CK86/'FY21 FTE'!CK$120</f>
        <v>0</v>
      </c>
      <c r="CL86" s="28">
        <f>'FY21 Final Initial $$'!CL86/'FY21 FTE'!CL$120</f>
        <v>0</v>
      </c>
      <c r="CM86" s="20">
        <v>0</v>
      </c>
      <c r="CN86" s="20">
        <v>0</v>
      </c>
      <c r="CO86" s="20">
        <v>299967.68</v>
      </c>
      <c r="CP86" s="20">
        <v>0</v>
      </c>
      <c r="CQ86" s="28">
        <f>'FY21 Final Initial $$'!CQ86/'FY21 FTE'!CQ$120</f>
        <v>1</v>
      </c>
      <c r="CR86" s="20">
        <v>75000</v>
      </c>
      <c r="CS86" s="20">
        <v>10440</v>
      </c>
      <c r="CT86" s="20">
        <v>0</v>
      </c>
      <c r="CU86" s="20">
        <v>38736.199999999997</v>
      </c>
      <c r="CV86" s="28">
        <f>'FY21 Final Initial $$'!CV86/'FY21 FTE'!CV$120</f>
        <v>1</v>
      </c>
      <c r="CW86" s="28">
        <f>'FY21 Final Initial $$'!CW86/'FY21 FTE'!CW$120</f>
        <v>0</v>
      </c>
      <c r="CX86" s="20">
        <v>0</v>
      </c>
      <c r="CY86" s="28">
        <f>'FY21 Final Initial $$'!CY86/'FY21 FTE'!CY$120</f>
        <v>0</v>
      </c>
      <c r="CZ86" s="20">
        <v>0</v>
      </c>
      <c r="DA86" s="20">
        <v>0</v>
      </c>
      <c r="DB86" s="20">
        <v>27600</v>
      </c>
      <c r="DC86" s="20">
        <v>80205.068648318789</v>
      </c>
      <c r="DD86" s="20">
        <v>0</v>
      </c>
      <c r="DE86" s="20">
        <v>0</v>
      </c>
      <c r="DF86" s="20">
        <v>0</v>
      </c>
      <c r="DG86" s="20">
        <v>0</v>
      </c>
      <c r="DH86" s="28">
        <f>'FY21 Final Initial $$'!DH86/'FY21 FTE'!DH$120</f>
        <v>0</v>
      </c>
      <c r="DI86" s="20"/>
      <c r="DJ86" s="20">
        <v>13474.999852478504</v>
      </c>
      <c r="DK86" s="22">
        <v>0</v>
      </c>
      <c r="DL86" s="20">
        <v>371801.50287601713</v>
      </c>
      <c r="DM86" s="20">
        <v>300000</v>
      </c>
      <c r="DN86" s="20">
        <v>6805976.6144753601</v>
      </c>
      <c r="DO86" s="29">
        <f t="shared" si="6"/>
        <v>0</v>
      </c>
      <c r="DP86" s="29">
        <f t="shared" si="6"/>
        <v>0</v>
      </c>
      <c r="DQ86" s="29">
        <f t="shared" si="7"/>
        <v>20.062774139693843</v>
      </c>
      <c r="DR86" s="29">
        <f t="shared" si="8"/>
        <v>10.590909090909092</v>
      </c>
      <c r="DS86" s="29">
        <f t="shared" si="9"/>
        <v>0</v>
      </c>
    </row>
    <row r="87" spans="1:123" x14ac:dyDescent="0.25">
      <c r="A87" s="18">
        <v>459</v>
      </c>
      <c r="B87" t="s">
        <v>228</v>
      </c>
      <c r="C87" t="s">
        <v>138</v>
      </c>
      <c r="D87">
        <v>4</v>
      </c>
      <c r="E87">
        <v>820</v>
      </c>
      <c r="F87" s="19">
        <f t="shared" si="5"/>
        <v>0.69390243902439019</v>
      </c>
      <c r="G87">
        <v>569</v>
      </c>
      <c r="H87" s="28">
        <f>'FY21 Final Initial $$'!H87/'FY21 FTE'!H$120</f>
        <v>1</v>
      </c>
      <c r="I87" s="28">
        <f>'FY21 Final Initial $$'!I87/'FY21 FTE'!I$120</f>
        <v>1</v>
      </c>
      <c r="J87" s="28">
        <f>'FY21 Final Initial $$'!J87/'FY21 FTE'!J$120</f>
        <v>2.7</v>
      </c>
      <c r="K87" s="28">
        <f>'FY21 Final Initial $$'!K87/'FY21 FTE'!K$120</f>
        <v>0</v>
      </c>
      <c r="L87" s="28">
        <f>'FY21 Final Initial $$'!L87/'FY21 FTE'!L$120</f>
        <v>3.5</v>
      </c>
      <c r="M87" s="28">
        <f>'FY21 Final Initial $$'!M87/'FY21 FTE'!M$120</f>
        <v>1</v>
      </c>
      <c r="N87" s="28">
        <f>'FY21 Final Initial $$'!N87/'FY21 FTE'!N$120</f>
        <v>1</v>
      </c>
      <c r="O87" s="28">
        <f>'FY21 Final Initial $$'!O87/'FY21 FTE'!O$120</f>
        <v>2.1</v>
      </c>
      <c r="P87" s="28">
        <f>'FY21 Final Initial $$'!P87/'FY21 FTE'!P$120</f>
        <v>1</v>
      </c>
      <c r="Q87" s="28">
        <f>'FY21 Final Initial $$'!Q87/'FY21 FTE'!Q$120</f>
        <v>1.0000004487061702</v>
      </c>
      <c r="R87" s="28">
        <f>'FY21 Final Initial $$'!R87/'FY21 FTE'!R$120</f>
        <v>0</v>
      </c>
      <c r="S87" s="28">
        <f>'FY21 Final Initial $$'!S87/'FY21 FTE'!S$120</f>
        <v>1</v>
      </c>
      <c r="T87" s="28">
        <f>'FY21 Final Initial $$'!T87/'FY21 FTE'!T$120</f>
        <v>1</v>
      </c>
      <c r="U87" s="28">
        <f>'FY21 Final Initial $$'!U87/'FY21 FTE'!U$120</f>
        <v>8</v>
      </c>
      <c r="V87" s="28">
        <f>'FY21 Final Initial $$'!V87/'FY21 FTE'!V$120</f>
        <v>1</v>
      </c>
      <c r="W87" s="28">
        <f>'FY21 Final Initial $$'!W87/'FY21 FTE'!W$120</f>
        <v>0</v>
      </c>
      <c r="X87" s="28">
        <f>'FY21 Final Initial $$'!X87/'FY21 FTE'!X$120</f>
        <v>0</v>
      </c>
      <c r="Y87" s="28">
        <f>'FY21 Final Initial $$'!Y87/'FY21 FTE'!Y$120</f>
        <v>0</v>
      </c>
      <c r="Z87" s="28">
        <f>'FY21 Final Initial $$'!Z87/'FY21 FTE'!Z$120</f>
        <v>0</v>
      </c>
      <c r="AA87" s="28">
        <f>'FY21 Final Initial $$'!AA87/'FY21 FTE'!AA$120</f>
        <v>0</v>
      </c>
      <c r="AB87" s="28">
        <f>'FY21 Final Initial $$'!AB87/'FY21 FTE'!AB$120</f>
        <v>0</v>
      </c>
      <c r="AC87" s="28">
        <f>'FY21 Final Initial $$'!AC87/'FY21 FTE'!AC$120</f>
        <v>0</v>
      </c>
      <c r="AD87" s="28">
        <f>'FY21 Final Initial $$'!AD87/'FY21 FTE'!AD$120</f>
        <v>0</v>
      </c>
      <c r="AE87" s="28">
        <f>'FY21 Final Initial $$'!AE87/'FY21 FTE'!AE$120</f>
        <v>0</v>
      </c>
      <c r="AF87" s="28">
        <f>'FY21 Final Initial $$'!AF87/'FY21 FTE'!AF$120</f>
        <v>0</v>
      </c>
      <c r="AG87" s="28">
        <f>'FY21 Final Initial $$'!AG87/'FY21 FTE'!AG$120</f>
        <v>0</v>
      </c>
      <c r="AH87" s="28">
        <f>'FY21 Final Initial $$'!AH87/'FY21 FTE'!AH$120</f>
        <v>0</v>
      </c>
      <c r="AI87" s="28">
        <f>'FY21 Final Initial $$'!AI87/'FY21 FTE'!AI$120</f>
        <v>0</v>
      </c>
      <c r="AJ87" s="28">
        <f>'FY21 Final Initial $$'!AJ87/'FY21 FTE'!AJ$120</f>
        <v>0</v>
      </c>
      <c r="AK87" s="28">
        <f>'FY21 Final Initial $$'!AK87/'FY21 FTE'!AK$120</f>
        <v>0</v>
      </c>
      <c r="AL87" s="28">
        <f>'FY21 Final Initial $$'!AL87/'FY21 FTE'!AL$120</f>
        <v>0</v>
      </c>
      <c r="AM87" s="28">
        <f>'FY21 Final Initial $$'!AM87/'FY21 FTE'!AM$120</f>
        <v>0</v>
      </c>
      <c r="AN87" s="28">
        <f>'FY21 Final Initial $$'!AN87/'FY21 FTE'!AN$120</f>
        <v>0</v>
      </c>
      <c r="AO87" s="28">
        <f>'FY21 Final Initial $$'!AO87/'FY21 FTE'!AO$120</f>
        <v>0</v>
      </c>
      <c r="AP87" s="28">
        <f>'FY21 Final Initial $$'!AP87/'FY21 FTE'!AP$120</f>
        <v>0</v>
      </c>
      <c r="AQ87" s="28">
        <f>'FY21 Final Initial $$'!AQ87/'FY21 FTE'!AQ$120</f>
        <v>0</v>
      </c>
      <c r="AR87" s="28">
        <f>'FY21 Final Initial $$'!AR87/'FY21 FTE'!AR$120</f>
        <v>0</v>
      </c>
      <c r="AS87" s="28">
        <f>'FY21 Final Initial $$'!AS87/'FY21 FTE'!AS$120</f>
        <v>0</v>
      </c>
      <c r="AT87" s="28">
        <f>'FY21 Final Initial $$'!AT87/'FY21 FTE'!AT$120</f>
        <v>0</v>
      </c>
      <c r="AU87" s="28">
        <f>'FY21 Final Initial $$'!AU87/'FY21 FTE'!AU$120</f>
        <v>0</v>
      </c>
      <c r="AV87" s="28">
        <f>'FY21 Final Initial $$'!AV87/'FY21 FTE'!AV$120</f>
        <v>0</v>
      </c>
      <c r="AW87" s="28">
        <f>'FY21 Final Initial $$'!AW87/'FY21 FTE'!AW$120</f>
        <v>34.166666666666664</v>
      </c>
      <c r="AX87" s="28">
        <f>'FY21 Final Initial $$'!AX87/'FY21 FTE'!AX$120</f>
        <v>7.7279250836128677</v>
      </c>
      <c r="AY87" s="28">
        <f>'FY21 Final Initial $$'!AY87/'FY21 FTE'!AY$120</f>
        <v>1</v>
      </c>
      <c r="AZ87" s="28">
        <f>'FY21 Final Initial $$'!AZ87/'FY21 FTE'!AZ$120</f>
        <v>4</v>
      </c>
      <c r="BA87" s="28">
        <f>'FY21 Final Initial $$'!BA87/'FY21 FTE'!BA$120</f>
        <v>15</v>
      </c>
      <c r="BB87" s="28">
        <f>'FY21 Final Initial $$'!BB87/'FY21 FTE'!BB$120</f>
        <v>7</v>
      </c>
      <c r="BC87" s="28">
        <f>'FY21 Final Initial $$'!BC87/'FY21 FTE'!BC$120</f>
        <v>1</v>
      </c>
      <c r="BD87" s="28">
        <f>'FY21 Final Initial $$'!BD87/'FY21 FTE'!BD$120</f>
        <v>0</v>
      </c>
      <c r="BE87" s="28">
        <f>'FY21 Final Initial $$'!BE87/'FY21 FTE'!BE$120</f>
        <v>16</v>
      </c>
      <c r="BF87" s="28">
        <f>'FY21 Final Initial $$'!BF87/'FY21 FTE'!BF$120</f>
        <v>2</v>
      </c>
      <c r="BG87" s="28">
        <f>'FY21 Final Initial $$'!BG87/'FY21 FTE'!BG$120</f>
        <v>3.3751672273371414</v>
      </c>
      <c r="BH87" s="28">
        <f>'FY21 Final Initial $$'!BH87/'FY21 FTE'!BH$120</f>
        <v>0</v>
      </c>
      <c r="BI87" s="28">
        <f>'FY21 Final Initial $$'!BI87/'FY21 FTE'!BI$120</f>
        <v>0</v>
      </c>
      <c r="BJ87" s="28">
        <f>'FY21 Final Initial $$'!BJ87/'FY21 FTE'!BJ$120</f>
        <v>0</v>
      </c>
      <c r="BK87" s="20">
        <v>85000</v>
      </c>
      <c r="BL87" s="20"/>
      <c r="BM87" s="20"/>
      <c r="BN87" s="20">
        <v>235681</v>
      </c>
      <c r="BO87" s="20">
        <v>3804.62</v>
      </c>
      <c r="BP87" s="20">
        <v>0</v>
      </c>
      <c r="BQ87" s="28">
        <f>'FY21 Final Initial $$'!BQ87/'FY21 FTE'!BQ$120</f>
        <v>0</v>
      </c>
      <c r="BR87" s="28">
        <f>'FY21 Final Initial $$'!BR87/'FY21 FTE'!BR$120</f>
        <v>0</v>
      </c>
      <c r="BS87" s="28">
        <f>'FY21 Final Initial $$'!BS87/'FY21 FTE'!BS$120</f>
        <v>0</v>
      </c>
      <c r="BT87" s="28">
        <f>'FY21 Final Initial $$'!BT87/'FY21 FTE'!BT$120</f>
        <v>0</v>
      </c>
      <c r="BU87" s="28">
        <f>'FY21 Final Initial $$'!BU87/'FY21 FTE'!BU$120</f>
        <v>0</v>
      </c>
      <c r="BV87" s="28">
        <f>'FY21 Final Initial $$'!BV87/'FY21 FTE'!BV$120</f>
        <v>0</v>
      </c>
      <c r="BW87" s="28">
        <f>'FY21 Final Initial $$'!BW87/'FY21 FTE'!BW$120</f>
        <v>1</v>
      </c>
      <c r="BX87" s="20">
        <v>11639.78</v>
      </c>
      <c r="BY87" s="20">
        <v>23560</v>
      </c>
      <c r="BZ87" s="20">
        <v>0</v>
      </c>
      <c r="CA87" s="20">
        <v>0</v>
      </c>
      <c r="CB87" s="28">
        <f>'FY21 Final Initial $$'!CB87/'FY21 FTE'!CB$120</f>
        <v>0</v>
      </c>
      <c r="CC87" s="28">
        <f>'FY21 Final Initial $$'!CC87/'FY21 FTE'!CC$120</f>
        <v>0</v>
      </c>
      <c r="CD87" s="20">
        <v>44000</v>
      </c>
      <c r="CE87" s="28">
        <f>'FY21 Final Initial $$'!CE87/'FY21 FTE'!CE$120</f>
        <v>2</v>
      </c>
      <c r="CF87" s="28">
        <f>'FY21 Final Initial $$'!CF87/'FY21 FTE'!CF$120</f>
        <v>0</v>
      </c>
      <c r="CG87" s="28">
        <f>'FY21 Final Initial $$'!CG87/'FY21 FTE'!CG$120</f>
        <v>1</v>
      </c>
      <c r="CH87" s="28">
        <f>'FY21 Final Initial $$'!CH87/'FY21 FTE'!CH$120</f>
        <v>0</v>
      </c>
      <c r="CI87" s="28">
        <f>'FY21 Final Initial $$'!CI87/'FY21 FTE'!CI$120</f>
        <v>0</v>
      </c>
      <c r="CJ87" s="28">
        <f>'FY21 Final Initial $$'!CJ87/'FY21 FTE'!CJ$120</f>
        <v>1</v>
      </c>
      <c r="CK87" s="28">
        <f>'FY21 Final Initial $$'!CK87/'FY21 FTE'!CK$120</f>
        <v>0</v>
      </c>
      <c r="CL87" s="28">
        <f>'FY21 Final Initial $$'!CL87/'FY21 FTE'!CL$120</f>
        <v>0</v>
      </c>
      <c r="CM87" s="20">
        <v>0</v>
      </c>
      <c r="CN87" s="20">
        <v>0</v>
      </c>
      <c r="CO87" s="20">
        <v>544013.6</v>
      </c>
      <c r="CP87" s="20">
        <v>0</v>
      </c>
      <c r="CQ87" s="28">
        <f>'FY21 Final Initial $$'!CQ87/'FY21 FTE'!CQ$120</f>
        <v>1</v>
      </c>
      <c r="CR87" s="20">
        <v>75000</v>
      </c>
      <c r="CS87" s="20">
        <v>11380</v>
      </c>
      <c r="CT87" s="20">
        <v>0</v>
      </c>
      <c r="CU87" s="20">
        <v>112767.02564102564</v>
      </c>
      <c r="CV87" s="28">
        <f>'FY21 Final Initial $$'!CV87/'FY21 FTE'!CV$120</f>
        <v>1</v>
      </c>
      <c r="CW87" s="28">
        <f>'FY21 Final Initial $$'!CW87/'FY21 FTE'!CW$120</f>
        <v>0</v>
      </c>
      <c r="CX87" s="20">
        <v>0</v>
      </c>
      <c r="CY87" s="28">
        <f>'FY21 Final Initial $$'!CY87/'FY21 FTE'!CY$120</f>
        <v>0</v>
      </c>
      <c r="CZ87" s="20">
        <v>5000</v>
      </c>
      <c r="DA87" s="20">
        <v>113945.66</v>
      </c>
      <c r="DB87" s="20">
        <v>82000</v>
      </c>
      <c r="DC87" s="20">
        <v>189136.64669372505</v>
      </c>
      <c r="DD87" s="20">
        <v>0</v>
      </c>
      <c r="DE87" s="20">
        <v>0</v>
      </c>
      <c r="DF87" s="20">
        <v>0</v>
      </c>
      <c r="DG87" s="20">
        <v>0</v>
      </c>
      <c r="DH87" s="28">
        <f>'FY21 Final Initial $$'!DH87/'FY21 FTE'!DH$120</f>
        <v>0</v>
      </c>
      <c r="DI87" s="20"/>
      <c r="DJ87" s="20">
        <v>40125.000212341547</v>
      </c>
      <c r="DK87" s="22">
        <v>0</v>
      </c>
      <c r="DL87" s="20">
        <v>0</v>
      </c>
      <c r="DM87" s="20">
        <v>0</v>
      </c>
      <c r="DN87" s="20">
        <v>13953440.206194874</v>
      </c>
      <c r="DO87" s="29">
        <f t="shared" si="6"/>
        <v>0</v>
      </c>
      <c r="DP87" s="29">
        <f t="shared" si="6"/>
        <v>0</v>
      </c>
      <c r="DQ87" s="29">
        <f t="shared" si="7"/>
        <v>41.894591750279531</v>
      </c>
      <c r="DR87" s="29">
        <f t="shared" si="8"/>
        <v>39.375167227337144</v>
      </c>
      <c r="DS87" s="29">
        <f t="shared" si="9"/>
        <v>9</v>
      </c>
    </row>
    <row r="88" spans="1:123" x14ac:dyDescent="0.25">
      <c r="A88" s="18">
        <v>456</v>
      </c>
      <c r="B88" t="s">
        <v>229</v>
      </c>
      <c r="C88" t="s">
        <v>141</v>
      </c>
      <c r="D88">
        <v>4</v>
      </c>
      <c r="E88">
        <v>675</v>
      </c>
      <c r="F88" s="19">
        <f t="shared" si="5"/>
        <v>0</v>
      </c>
      <c r="G88">
        <v>0</v>
      </c>
      <c r="H88" s="28">
        <f>'FY21 Final Initial $$'!H88/'FY21 FTE'!H$120</f>
        <v>1</v>
      </c>
      <c r="I88" s="28">
        <f>'FY21 Final Initial $$'!I88/'FY21 FTE'!I$120</f>
        <v>1</v>
      </c>
      <c r="J88" s="28">
        <f>'FY21 Final Initial $$'!J88/'FY21 FTE'!J$120</f>
        <v>1</v>
      </c>
      <c r="K88" s="28">
        <f>'FY21 Final Initial $$'!K88/'FY21 FTE'!K$120</f>
        <v>0</v>
      </c>
      <c r="L88" s="28">
        <f>'FY21 Final Initial $$'!L88/'FY21 FTE'!L$120</f>
        <v>2.5</v>
      </c>
      <c r="M88" s="28">
        <f>'FY21 Final Initial $$'!M88/'FY21 FTE'!M$120</f>
        <v>0</v>
      </c>
      <c r="N88" s="28">
        <f>'FY21 Final Initial $$'!N88/'FY21 FTE'!N$120</f>
        <v>1</v>
      </c>
      <c r="O88" s="28">
        <f>'FY21 Final Initial $$'!O88/'FY21 FTE'!O$120</f>
        <v>1.7</v>
      </c>
      <c r="P88" s="28">
        <f>'FY21 Final Initial $$'!P88/'FY21 FTE'!P$120</f>
        <v>1</v>
      </c>
      <c r="Q88" s="28">
        <f>'FY21 Final Initial $$'!Q88/'FY21 FTE'!Q$120</f>
        <v>1.0000004487061702</v>
      </c>
      <c r="R88" s="28">
        <f>'FY21 Final Initial $$'!R88/'FY21 FTE'!R$120</f>
        <v>0</v>
      </c>
      <c r="S88" s="28">
        <f>'FY21 Final Initial $$'!S88/'FY21 FTE'!S$120</f>
        <v>1</v>
      </c>
      <c r="T88" s="28">
        <f>'FY21 Final Initial $$'!T88/'FY21 FTE'!T$120</f>
        <v>1</v>
      </c>
      <c r="U88" s="28">
        <f>'FY21 Final Initial $$'!U88/'FY21 FTE'!U$120</f>
        <v>1</v>
      </c>
      <c r="V88" s="28">
        <f>'FY21 Final Initial $$'!V88/'FY21 FTE'!V$120</f>
        <v>0</v>
      </c>
      <c r="W88" s="28">
        <f>'FY21 Final Initial $$'!W88/'FY21 FTE'!W$120</f>
        <v>0</v>
      </c>
      <c r="X88" s="28">
        <f>'FY21 Final Initial $$'!X88/'FY21 FTE'!X$120</f>
        <v>0</v>
      </c>
      <c r="Y88" s="28">
        <f>'FY21 Final Initial $$'!Y88/'FY21 FTE'!Y$120</f>
        <v>0</v>
      </c>
      <c r="Z88" s="28">
        <f>'FY21 Final Initial $$'!Z88/'FY21 FTE'!Z$120</f>
        <v>0</v>
      </c>
      <c r="AA88" s="28">
        <f>'FY21 Final Initial $$'!AA88/'FY21 FTE'!AA$120</f>
        <v>0</v>
      </c>
      <c r="AB88" s="28">
        <f>'FY21 Final Initial $$'!AB88/'FY21 FTE'!AB$120</f>
        <v>0</v>
      </c>
      <c r="AC88" s="28">
        <f>'FY21 Final Initial $$'!AC88/'FY21 FTE'!AC$120</f>
        <v>0</v>
      </c>
      <c r="AD88" s="28">
        <f>'FY21 Final Initial $$'!AD88/'FY21 FTE'!AD$120</f>
        <v>0</v>
      </c>
      <c r="AE88" s="28">
        <f>'FY21 Final Initial $$'!AE88/'FY21 FTE'!AE$120</f>
        <v>0</v>
      </c>
      <c r="AF88" s="28">
        <f>'FY21 Final Initial $$'!AF88/'FY21 FTE'!AF$120</f>
        <v>0</v>
      </c>
      <c r="AG88" s="28">
        <f>'FY21 Final Initial $$'!AG88/'FY21 FTE'!AG$120</f>
        <v>0</v>
      </c>
      <c r="AH88" s="28">
        <f>'FY21 Final Initial $$'!AH88/'FY21 FTE'!AH$120</f>
        <v>0</v>
      </c>
      <c r="AI88" s="28">
        <f>'FY21 Final Initial $$'!AI88/'FY21 FTE'!AI$120</f>
        <v>0</v>
      </c>
      <c r="AJ88" s="28">
        <f>'FY21 Final Initial $$'!AJ88/'FY21 FTE'!AJ$120</f>
        <v>0</v>
      </c>
      <c r="AK88" s="28">
        <f>'FY21 Final Initial $$'!AK88/'FY21 FTE'!AK$120</f>
        <v>0</v>
      </c>
      <c r="AL88" s="28">
        <f>'FY21 Final Initial $$'!AL88/'FY21 FTE'!AL$120</f>
        <v>0</v>
      </c>
      <c r="AM88" s="28">
        <f>'FY21 Final Initial $$'!AM88/'FY21 FTE'!AM$120</f>
        <v>0</v>
      </c>
      <c r="AN88" s="28">
        <f>'FY21 Final Initial $$'!AN88/'FY21 FTE'!AN$120</f>
        <v>0</v>
      </c>
      <c r="AO88" s="28">
        <f>'FY21 Final Initial $$'!AO88/'FY21 FTE'!AO$120</f>
        <v>0</v>
      </c>
      <c r="AP88" s="28">
        <f>'FY21 Final Initial $$'!AP88/'FY21 FTE'!AP$120</f>
        <v>0</v>
      </c>
      <c r="AQ88" s="28">
        <f>'FY21 Final Initial $$'!AQ88/'FY21 FTE'!AQ$120</f>
        <v>0</v>
      </c>
      <c r="AR88" s="28">
        <f>'FY21 Final Initial $$'!AR88/'FY21 FTE'!AR$120</f>
        <v>0</v>
      </c>
      <c r="AS88" s="28">
        <f>'FY21 Final Initial $$'!AS88/'FY21 FTE'!AS$120</f>
        <v>0</v>
      </c>
      <c r="AT88" s="28">
        <f>'FY21 Final Initial $$'!AT88/'FY21 FTE'!AT$120</f>
        <v>0</v>
      </c>
      <c r="AU88" s="28">
        <f>'FY21 Final Initial $$'!AU88/'FY21 FTE'!AU$120</f>
        <v>0</v>
      </c>
      <c r="AV88" s="28">
        <f>'FY21 Final Initial $$'!AV88/'FY21 FTE'!AV$120</f>
        <v>0</v>
      </c>
      <c r="AW88" s="28">
        <f>'FY21 Final Initial $$'!AW88/'FY21 FTE'!AW$120</f>
        <v>24.791666666666625</v>
      </c>
      <c r="AX88" s="28">
        <f>'FY21 Final Initial $$'!AX88/'FY21 FTE'!AX$120</f>
        <v>0</v>
      </c>
      <c r="AY88" s="28">
        <f>'FY21 Final Initial $$'!AY88/'FY21 FTE'!AY$120</f>
        <v>1</v>
      </c>
      <c r="AZ88" s="28">
        <f>'FY21 Final Initial $$'!AZ88/'FY21 FTE'!AZ$120</f>
        <v>3</v>
      </c>
      <c r="BA88" s="28">
        <f>'FY21 Final Initial $$'!BA88/'FY21 FTE'!BA$120</f>
        <v>10</v>
      </c>
      <c r="BB88" s="28">
        <f>'FY21 Final Initial $$'!BB88/'FY21 FTE'!BB$120</f>
        <v>0</v>
      </c>
      <c r="BC88" s="28">
        <f>'FY21 Final Initial $$'!BC88/'FY21 FTE'!BC$120</f>
        <v>0</v>
      </c>
      <c r="BD88" s="28">
        <f>'FY21 Final Initial $$'!BD88/'FY21 FTE'!BD$120</f>
        <v>0</v>
      </c>
      <c r="BE88" s="28">
        <f>'FY21 Final Initial $$'!BE88/'FY21 FTE'!BE$120</f>
        <v>11</v>
      </c>
      <c r="BF88" s="28">
        <f>'FY21 Final Initial $$'!BF88/'FY21 FTE'!BF$120</f>
        <v>1</v>
      </c>
      <c r="BG88" s="28">
        <f>'FY21 Final Initial $$'!BG88/'FY21 FTE'!BG$120</f>
        <v>2</v>
      </c>
      <c r="BH88" s="28">
        <f>'FY21 Final Initial $$'!BH88/'FY21 FTE'!BH$120</f>
        <v>0</v>
      </c>
      <c r="BI88" s="28">
        <f>'FY21 Final Initial $$'!BI88/'FY21 FTE'!BI$120</f>
        <v>0</v>
      </c>
      <c r="BJ88" s="28">
        <f>'FY21 Final Initial $$'!BJ88/'FY21 FTE'!BJ$120</f>
        <v>0</v>
      </c>
      <c r="BK88" s="20">
        <v>70000</v>
      </c>
      <c r="BL88" s="20"/>
      <c r="BM88" s="20"/>
      <c r="BN88" s="20">
        <v>0</v>
      </c>
      <c r="BO88" s="20">
        <v>0</v>
      </c>
      <c r="BP88" s="20">
        <v>19025</v>
      </c>
      <c r="BQ88" s="28">
        <f>'FY21 Final Initial $$'!BQ88/'FY21 FTE'!BQ$120</f>
        <v>0</v>
      </c>
      <c r="BR88" s="28">
        <f>'FY21 Final Initial $$'!BR88/'FY21 FTE'!BR$120</f>
        <v>0</v>
      </c>
      <c r="BS88" s="28">
        <f>'FY21 Final Initial $$'!BS88/'FY21 FTE'!BS$120</f>
        <v>0</v>
      </c>
      <c r="BT88" s="28">
        <f>'FY21 Final Initial $$'!BT88/'FY21 FTE'!BT$120</f>
        <v>0</v>
      </c>
      <c r="BU88" s="28">
        <f>'FY21 Final Initial $$'!BU88/'FY21 FTE'!BU$120</f>
        <v>0</v>
      </c>
      <c r="BV88" s="28">
        <f>'FY21 Final Initial $$'!BV88/'FY21 FTE'!BV$120</f>
        <v>0</v>
      </c>
      <c r="BW88" s="28">
        <f>'FY21 Final Initial $$'!BW88/'FY21 FTE'!BW$120</f>
        <v>0</v>
      </c>
      <c r="BX88" s="20">
        <v>0</v>
      </c>
      <c r="BY88" s="20">
        <v>0</v>
      </c>
      <c r="BZ88" s="20">
        <v>0</v>
      </c>
      <c r="CA88" s="20">
        <v>0</v>
      </c>
      <c r="CB88" s="28">
        <f>'FY21 Final Initial $$'!CB88/'FY21 FTE'!CB$120</f>
        <v>0</v>
      </c>
      <c r="CC88" s="28">
        <f>'FY21 Final Initial $$'!CC88/'FY21 FTE'!CC$120</f>
        <v>0</v>
      </c>
      <c r="CD88" s="20">
        <v>0</v>
      </c>
      <c r="CE88" s="28">
        <f>'FY21 Final Initial $$'!CE88/'FY21 FTE'!CE$120</f>
        <v>0</v>
      </c>
      <c r="CF88" s="28">
        <f>'FY21 Final Initial $$'!CF88/'FY21 FTE'!CF$120</f>
        <v>0</v>
      </c>
      <c r="CG88" s="28">
        <f>'FY21 Final Initial $$'!CG88/'FY21 FTE'!CG$120</f>
        <v>0</v>
      </c>
      <c r="CH88" s="28">
        <f>'FY21 Final Initial $$'!CH88/'FY21 FTE'!CH$120</f>
        <v>0</v>
      </c>
      <c r="CI88" s="28">
        <f>'FY21 Final Initial $$'!CI88/'FY21 FTE'!CI$120</f>
        <v>0</v>
      </c>
      <c r="CJ88" s="28">
        <f>'FY21 Final Initial $$'!CJ88/'FY21 FTE'!CJ$120</f>
        <v>0</v>
      </c>
      <c r="CK88" s="28">
        <f>'FY21 Final Initial $$'!CK88/'FY21 FTE'!CK$120</f>
        <v>0</v>
      </c>
      <c r="CL88" s="28">
        <f>'FY21 Final Initial $$'!CL88/'FY21 FTE'!CL$120</f>
        <v>0</v>
      </c>
      <c r="CM88" s="20">
        <v>0</v>
      </c>
      <c r="CN88" s="20">
        <v>0</v>
      </c>
      <c r="CO88" s="20">
        <v>223687.03999999998</v>
      </c>
      <c r="CP88" s="20">
        <v>0</v>
      </c>
      <c r="CQ88" s="28">
        <f>'FY21 Final Initial $$'!CQ88/'FY21 FTE'!CQ$120</f>
        <v>0</v>
      </c>
      <c r="CR88" s="20">
        <v>75000</v>
      </c>
      <c r="CS88" s="20">
        <v>0</v>
      </c>
      <c r="CT88" s="20">
        <v>0</v>
      </c>
      <c r="CU88" s="20">
        <v>83239.03571428571</v>
      </c>
      <c r="CV88" s="28">
        <f>'FY21 Final Initial $$'!CV88/'FY21 FTE'!CV$120</f>
        <v>0</v>
      </c>
      <c r="CW88" s="28">
        <f>'FY21 Final Initial $$'!CW88/'FY21 FTE'!CW$120</f>
        <v>1</v>
      </c>
      <c r="CX88" s="20">
        <v>150000</v>
      </c>
      <c r="CY88" s="28">
        <f>'FY21 Final Initial $$'!CY88/'FY21 FTE'!CY$120</f>
        <v>0</v>
      </c>
      <c r="CZ88" s="20">
        <v>0</v>
      </c>
      <c r="DA88" s="20">
        <v>0</v>
      </c>
      <c r="DB88" s="20">
        <v>67500</v>
      </c>
      <c r="DC88" s="20">
        <v>114326.90959270598</v>
      </c>
      <c r="DD88" s="20">
        <v>0</v>
      </c>
      <c r="DE88" s="20">
        <v>0</v>
      </c>
      <c r="DF88" s="20">
        <v>0</v>
      </c>
      <c r="DG88" s="20">
        <v>0</v>
      </c>
      <c r="DH88" s="28">
        <f>'FY21 Final Initial $$'!DH88/'FY21 FTE'!DH$120</f>
        <v>0</v>
      </c>
      <c r="DI88" s="20">
        <v>5224.9999221414328</v>
      </c>
      <c r="DJ88" s="20">
        <v>5224.9999221414328</v>
      </c>
      <c r="DK88" s="22">
        <v>0</v>
      </c>
      <c r="DL88" s="20">
        <v>0</v>
      </c>
      <c r="DM88" s="20">
        <v>0</v>
      </c>
      <c r="DN88" s="20">
        <v>7909053.2704903744</v>
      </c>
      <c r="DO88" s="29">
        <f t="shared" si="6"/>
        <v>0</v>
      </c>
      <c r="DP88" s="29">
        <f t="shared" si="6"/>
        <v>0</v>
      </c>
      <c r="DQ88" s="29">
        <f t="shared" si="7"/>
        <v>24.791666666666625</v>
      </c>
      <c r="DR88" s="29">
        <f t="shared" si="8"/>
        <v>27</v>
      </c>
      <c r="DS88" s="29">
        <f t="shared" si="9"/>
        <v>1</v>
      </c>
    </row>
    <row r="89" spans="1:123" x14ac:dyDescent="0.25">
      <c r="A89" s="18">
        <v>305</v>
      </c>
      <c r="B89" t="s">
        <v>230</v>
      </c>
      <c r="C89" t="s">
        <v>135</v>
      </c>
      <c r="D89">
        <v>2</v>
      </c>
      <c r="E89">
        <v>184</v>
      </c>
      <c r="F89" s="19">
        <f t="shared" si="5"/>
        <v>2.1739130434782608E-2</v>
      </c>
      <c r="G89">
        <v>4</v>
      </c>
      <c r="H89" s="28">
        <f>'FY21 Final Initial $$'!H89/'FY21 FTE'!H$120</f>
        <v>1</v>
      </c>
      <c r="I89" s="28">
        <f>'FY21 Final Initial $$'!I89/'FY21 FTE'!I$120</f>
        <v>1</v>
      </c>
      <c r="J89" s="28">
        <f>'FY21 Final Initial $$'!J89/'FY21 FTE'!J$120</f>
        <v>0</v>
      </c>
      <c r="K89" s="28">
        <f>'FY21 Final Initial $$'!K89/'FY21 FTE'!K$120</f>
        <v>0</v>
      </c>
      <c r="L89" s="28">
        <f>'FY21 Final Initial $$'!L89/'FY21 FTE'!L$120</f>
        <v>0</v>
      </c>
      <c r="M89" s="28">
        <f>'FY21 Final Initial $$'!M89/'FY21 FTE'!M$120</f>
        <v>0.5</v>
      </c>
      <c r="N89" s="28">
        <f>'FY21 Final Initial $$'!N89/'FY21 FTE'!N$120</f>
        <v>1</v>
      </c>
      <c r="O89" s="28">
        <f>'FY21 Final Initial $$'!O89/'FY21 FTE'!O$120</f>
        <v>0</v>
      </c>
      <c r="P89" s="28">
        <f>'FY21 Final Initial $$'!P89/'FY21 FTE'!P$120</f>
        <v>0</v>
      </c>
      <c r="Q89" s="28">
        <f>'FY21 Final Initial $$'!Q89/'FY21 FTE'!Q$120</f>
        <v>0</v>
      </c>
      <c r="R89" s="28">
        <f>'FY21 Final Initial $$'!R89/'FY21 FTE'!R$120</f>
        <v>0</v>
      </c>
      <c r="S89" s="28">
        <f>'FY21 Final Initial $$'!S89/'FY21 FTE'!S$120</f>
        <v>1</v>
      </c>
      <c r="T89" s="28">
        <f>'FY21 Final Initial $$'!T89/'FY21 FTE'!T$120</f>
        <v>1</v>
      </c>
      <c r="U89" s="28">
        <f>'FY21 Final Initial $$'!U89/'FY21 FTE'!U$120</f>
        <v>1</v>
      </c>
      <c r="V89" s="28">
        <f>'FY21 Final Initial $$'!V89/'FY21 FTE'!V$120</f>
        <v>0.5</v>
      </c>
      <c r="W89" s="28">
        <f>'FY21 Final Initial $$'!W89/'FY21 FTE'!W$120</f>
        <v>1</v>
      </c>
      <c r="X89" s="28">
        <f>'FY21 Final Initial $$'!X89/'FY21 FTE'!X$120</f>
        <v>1</v>
      </c>
      <c r="Y89" s="28">
        <f>'FY21 Final Initial $$'!Y89/'FY21 FTE'!Y$120</f>
        <v>1</v>
      </c>
      <c r="Z89" s="28">
        <f>'FY21 Final Initial $$'!Z89/'FY21 FTE'!Z$120</f>
        <v>-1.3122687780540747E-15</v>
      </c>
      <c r="AA89" s="28">
        <f>'FY21 Final Initial $$'!AA89/'FY21 FTE'!AA$120</f>
        <v>1</v>
      </c>
      <c r="AB89" s="28">
        <f>'FY21 Final Initial $$'!AB89/'FY21 FTE'!AB$120</f>
        <v>0</v>
      </c>
      <c r="AC89" s="28">
        <f>'FY21 Final Initial $$'!AC89/'FY21 FTE'!AC$120</f>
        <v>0</v>
      </c>
      <c r="AD89" s="28">
        <f>'FY21 Final Initial $$'!AD89/'FY21 FTE'!AD$120</f>
        <v>0</v>
      </c>
      <c r="AE89" s="28">
        <f>'FY21 Final Initial $$'!AE89/'FY21 FTE'!AE$120</f>
        <v>0</v>
      </c>
      <c r="AF89" s="28">
        <f>'FY21 Final Initial $$'!AF89/'FY21 FTE'!AF$120</f>
        <v>1</v>
      </c>
      <c r="AG89" s="28">
        <f>'FY21 Final Initial $$'!AG89/'FY21 FTE'!AG$120</f>
        <v>1</v>
      </c>
      <c r="AH89" s="28">
        <f>'FY21 Final Initial $$'!AH89/'FY21 FTE'!AH$120</f>
        <v>2</v>
      </c>
      <c r="AI89" s="28">
        <f>'FY21 Final Initial $$'!AI89/'FY21 FTE'!AI$120</f>
        <v>2</v>
      </c>
      <c r="AJ89" s="28">
        <f>'FY21 Final Initial $$'!AJ89/'FY21 FTE'!AJ$120</f>
        <v>2</v>
      </c>
      <c r="AK89" s="28">
        <f>'FY21 Final Initial $$'!AK89/'FY21 FTE'!AK$120</f>
        <v>2</v>
      </c>
      <c r="AL89" s="28">
        <f>'FY21 Final Initial $$'!AL89/'FY21 FTE'!AL$120</f>
        <v>1</v>
      </c>
      <c r="AM89" s="28">
        <f>'FY21 Final Initial $$'!AM89/'FY21 FTE'!AM$120</f>
        <v>1</v>
      </c>
      <c r="AN89" s="28">
        <f>'FY21 Final Initial $$'!AN89/'FY21 FTE'!AN$120</f>
        <v>1.0000000000000013</v>
      </c>
      <c r="AO89" s="28">
        <f>'FY21 Final Initial $$'!AO89/'FY21 FTE'!AO$120</f>
        <v>0</v>
      </c>
      <c r="AP89" s="28">
        <f>'FY21 Final Initial $$'!AP89/'FY21 FTE'!AP$120</f>
        <v>0</v>
      </c>
      <c r="AQ89" s="28">
        <f>'FY21 Final Initial $$'!AQ89/'FY21 FTE'!AQ$120</f>
        <v>0</v>
      </c>
      <c r="AR89" s="28">
        <f>'FY21 Final Initial $$'!AR89/'FY21 FTE'!AR$120</f>
        <v>0</v>
      </c>
      <c r="AS89" s="28">
        <f>'FY21 Final Initial $$'!AS89/'FY21 FTE'!AS$120</f>
        <v>0</v>
      </c>
      <c r="AT89" s="28">
        <f>'FY21 Final Initial $$'!AT89/'FY21 FTE'!AT$120</f>
        <v>0</v>
      </c>
      <c r="AU89" s="28">
        <f>'FY21 Final Initial $$'!AU89/'FY21 FTE'!AU$120</f>
        <v>0</v>
      </c>
      <c r="AV89" s="28">
        <f>'FY21 Final Initial $$'!AV89/'FY21 FTE'!AV$120</f>
        <v>0</v>
      </c>
      <c r="AW89" s="28">
        <f>'FY21 Final Initial $$'!AW89/'FY21 FTE'!AW$120</f>
        <v>0</v>
      </c>
      <c r="AX89" s="28">
        <f>'FY21 Final Initial $$'!AX89/'FY21 FTE'!AX$120</f>
        <v>0</v>
      </c>
      <c r="AY89" s="28">
        <f>'FY21 Final Initial $$'!AY89/'FY21 FTE'!AY$120</f>
        <v>0.5</v>
      </c>
      <c r="AZ89" s="28">
        <f>'FY21 Final Initial $$'!AZ89/'FY21 FTE'!AZ$120</f>
        <v>1</v>
      </c>
      <c r="BA89" s="28">
        <f>'FY21 Final Initial $$'!BA89/'FY21 FTE'!BA$120</f>
        <v>2</v>
      </c>
      <c r="BB89" s="28">
        <f>'FY21 Final Initial $$'!BB89/'FY21 FTE'!BB$120</f>
        <v>0</v>
      </c>
      <c r="BC89" s="28">
        <f>'FY21 Final Initial $$'!BC89/'FY21 FTE'!BC$120</f>
        <v>0</v>
      </c>
      <c r="BD89" s="28">
        <f>'FY21 Final Initial $$'!BD89/'FY21 FTE'!BD$120</f>
        <v>0</v>
      </c>
      <c r="BE89" s="28">
        <f>'FY21 Final Initial $$'!BE89/'FY21 FTE'!BE$120</f>
        <v>2</v>
      </c>
      <c r="BF89" s="28">
        <f>'FY21 Final Initial $$'!BF89/'FY21 FTE'!BF$120</f>
        <v>0</v>
      </c>
      <c r="BG89" s="28">
        <f>'FY21 Final Initial $$'!BG89/'FY21 FTE'!BG$120</f>
        <v>0</v>
      </c>
      <c r="BH89" s="28">
        <f>'FY21 Final Initial $$'!BH89/'FY21 FTE'!BH$120</f>
        <v>0</v>
      </c>
      <c r="BI89" s="28">
        <f>'FY21 Final Initial $$'!BI89/'FY21 FTE'!BI$120</f>
        <v>0</v>
      </c>
      <c r="BJ89" s="28">
        <f>'FY21 Final Initial $$'!BJ89/'FY21 FTE'!BJ$120</f>
        <v>0</v>
      </c>
      <c r="BK89" s="20">
        <v>0</v>
      </c>
      <c r="BL89" s="20"/>
      <c r="BM89" s="20"/>
      <c r="BN89" s="20">
        <v>0</v>
      </c>
      <c r="BO89" s="20">
        <v>0</v>
      </c>
      <c r="BP89" s="20">
        <v>4425</v>
      </c>
      <c r="BQ89" s="28">
        <f>'FY21 Final Initial $$'!BQ89/'FY21 FTE'!BQ$120</f>
        <v>0</v>
      </c>
      <c r="BR89" s="28">
        <f>'FY21 Final Initial $$'!BR89/'FY21 FTE'!BR$120</f>
        <v>0</v>
      </c>
      <c r="BS89" s="28">
        <f>'FY21 Final Initial $$'!BS89/'FY21 FTE'!BS$120</f>
        <v>0</v>
      </c>
      <c r="BT89" s="28">
        <f>'FY21 Final Initial $$'!BT89/'FY21 FTE'!BT$120</f>
        <v>0</v>
      </c>
      <c r="BU89" s="28">
        <f>'FY21 Final Initial $$'!BU89/'FY21 FTE'!BU$120</f>
        <v>0</v>
      </c>
      <c r="BV89" s="28">
        <f>'FY21 Final Initial $$'!BV89/'FY21 FTE'!BV$120</f>
        <v>0</v>
      </c>
      <c r="BW89" s="28">
        <f>'FY21 Final Initial $$'!BW89/'FY21 FTE'!BW$120</f>
        <v>0</v>
      </c>
      <c r="BX89" s="20">
        <v>0</v>
      </c>
      <c r="BY89" s="20">
        <v>0</v>
      </c>
      <c r="BZ89" s="20">
        <v>0</v>
      </c>
      <c r="CA89" s="20">
        <v>0</v>
      </c>
      <c r="CB89" s="28">
        <f>'FY21 Final Initial $$'!CB89/'FY21 FTE'!CB$120</f>
        <v>0</v>
      </c>
      <c r="CC89" s="28">
        <f>'FY21 Final Initial $$'!CC89/'FY21 FTE'!CC$120</f>
        <v>0</v>
      </c>
      <c r="CD89" s="20">
        <v>0</v>
      </c>
      <c r="CE89" s="28">
        <f>'FY21 Final Initial $$'!CE89/'FY21 FTE'!CE$120</f>
        <v>0</v>
      </c>
      <c r="CF89" s="28">
        <f>'FY21 Final Initial $$'!CF89/'FY21 FTE'!CF$120</f>
        <v>0</v>
      </c>
      <c r="CG89" s="28">
        <f>'FY21 Final Initial $$'!CG89/'FY21 FTE'!CG$120</f>
        <v>0</v>
      </c>
      <c r="CH89" s="28">
        <f>'FY21 Final Initial $$'!CH89/'FY21 FTE'!CH$120</f>
        <v>0</v>
      </c>
      <c r="CI89" s="28">
        <f>'FY21 Final Initial $$'!CI89/'FY21 FTE'!CI$120</f>
        <v>0</v>
      </c>
      <c r="CJ89" s="28">
        <f>'FY21 Final Initial $$'!CJ89/'FY21 FTE'!CJ$120</f>
        <v>0</v>
      </c>
      <c r="CK89" s="28">
        <f>'FY21 Final Initial $$'!CK89/'FY21 FTE'!CK$120</f>
        <v>0</v>
      </c>
      <c r="CL89" s="28">
        <f>'FY21 Final Initial $$'!CL89/'FY21 FTE'!CL$120</f>
        <v>0</v>
      </c>
      <c r="CM89" s="20">
        <v>0</v>
      </c>
      <c r="CN89" s="20">
        <v>0</v>
      </c>
      <c r="CO89" s="20">
        <v>55921.759999999995</v>
      </c>
      <c r="CP89" s="20">
        <v>0</v>
      </c>
      <c r="CQ89" s="28">
        <f>'FY21 Final Initial $$'!CQ89/'FY21 FTE'!CQ$120</f>
        <v>0</v>
      </c>
      <c r="CR89" s="20">
        <v>0</v>
      </c>
      <c r="CS89" s="20">
        <v>0</v>
      </c>
      <c r="CT89" s="20">
        <v>0</v>
      </c>
      <c r="CU89" s="20">
        <v>11262.909090909092</v>
      </c>
      <c r="CV89" s="28">
        <f>'FY21 Final Initial $$'!CV89/'FY21 FTE'!CV$120</f>
        <v>0</v>
      </c>
      <c r="CW89" s="28">
        <f>'FY21 Final Initial $$'!CW89/'FY21 FTE'!CW$120</f>
        <v>0</v>
      </c>
      <c r="CX89" s="20">
        <v>0</v>
      </c>
      <c r="CY89" s="28">
        <f>'FY21 Final Initial $$'!CY89/'FY21 FTE'!CY$120</f>
        <v>0</v>
      </c>
      <c r="CZ89" s="20">
        <v>0</v>
      </c>
      <c r="DA89" s="20">
        <v>0</v>
      </c>
      <c r="DB89" s="20">
        <v>18400</v>
      </c>
      <c r="DC89" s="20">
        <v>46893.480287479353</v>
      </c>
      <c r="DD89" s="20">
        <v>0</v>
      </c>
      <c r="DE89" s="20">
        <v>0</v>
      </c>
      <c r="DF89" s="20">
        <v>0</v>
      </c>
      <c r="DG89" s="20">
        <v>0</v>
      </c>
      <c r="DH89" s="28">
        <f>'FY21 Final Initial $$'!DH89/'FY21 FTE'!DH$120</f>
        <v>0</v>
      </c>
      <c r="DI89" s="20"/>
      <c r="DJ89" s="20">
        <v>525</v>
      </c>
      <c r="DK89" s="22">
        <v>0</v>
      </c>
      <c r="DL89" s="20">
        <v>0</v>
      </c>
      <c r="DM89" s="20">
        <v>0</v>
      </c>
      <c r="DN89" s="20">
        <v>3050066.6765510188</v>
      </c>
      <c r="DO89" s="29">
        <f t="shared" si="6"/>
        <v>3</v>
      </c>
      <c r="DP89" s="29">
        <f t="shared" si="6"/>
        <v>3</v>
      </c>
      <c r="DQ89" s="29">
        <f t="shared" si="7"/>
        <v>7.0000000000000018</v>
      </c>
      <c r="DR89" s="29">
        <f t="shared" si="8"/>
        <v>5.5</v>
      </c>
      <c r="DS89" s="29">
        <f t="shared" si="9"/>
        <v>0</v>
      </c>
    </row>
    <row r="90" spans="1:123" x14ac:dyDescent="0.25">
      <c r="A90" s="18">
        <v>307</v>
      </c>
      <c r="B90" t="s">
        <v>231</v>
      </c>
      <c r="C90" t="s">
        <v>135</v>
      </c>
      <c r="D90">
        <v>8</v>
      </c>
      <c r="E90">
        <v>276</v>
      </c>
      <c r="F90" s="19">
        <f t="shared" si="5"/>
        <v>0.8188405797101449</v>
      </c>
      <c r="G90">
        <v>226</v>
      </c>
      <c r="H90" s="28">
        <f>'FY21 Final Initial $$'!H90/'FY21 FTE'!H$120</f>
        <v>1</v>
      </c>
      <c r="I90" s="28">
        <f>'FY21 Final Initial $$'!I90/'FY21 FTE'!I$120</f>
        <v>1</v>
      </c>
      <c r="J90" s="28">
        <f>'FY21 Final Initial $$'!J90/'FY21 FTE'!J$120</f>
        <v>0</v>
      </c>
      <c r="K90" s="28">
        <f>'FY21 Final Initial $$'!K90/'FY21 FTE'!K$120</f>
        <v>0</v>
      </c>
      <c r="L90" s="28">
        <f>'FY21 Final Initial $$'!L90/'FY21 FTE'!L$120</f>
        <v>0</v>
      </c>
      <c r="M90" s="28">
        <f>'FY21 Final Initial $$'!M90/'FY21 FTE'!M$120</f>
        <v>0.5</v>
      </c>
      <c r="N90" s="28">
        <f>'FY21 Final Initial $$'!N90/'FY21 FTE'!N$120</f>
        <v>1</v>
      </c>
      <c r="O90" s="28">
        <f>'FY21 Final Initial $$'!O90/'FY21 FTE'!O$120</f>
        <v>0</v>
      </c>
      <c r="P90" s="28">
        <f>'FY21 Final Initial $$'!P90/'FY21 FTE'!P$120</f>
        <v>0</v>
      </c>
      <c r="Q90" s="28">
        <f>'FY21 Final Initial $$'!Q90/'FY21 FTE'!Q$120</f>
        <v>0</v>
      </c>
      <c r="R90" s="28">
        <f>'FY21 Final Initial $$'!R90/'FY21 FTE'!R$120</f>
        <v>0</v>
      </c>
      <c r="S90" s="28">
        <f>'FY21 Final Initial $$'!S90/'FY21 FTE'!S$120</f>
        <v>1</v>
      </c>
      <c r="T90" s="28">
        <f>'FY21 Final Initial $$'!T90/'FY21 FTE'!T$120</f>
        <v>1</v>
      </c>
      <c r="U90" s="28">
        <f>'FY21 Final Initial $$'!U90/'FY21 FTE'!U$120</f>
        <v>1</v>
      </c>
      <c r="V90" s="28">
        <f>'FY21 Final Initial $$'!V90/'FY21 FTE'!V$120</f>
        <v>0.5</v>
      </c>
      <c r="W90" s="28">
        <f>'FY21 Final Initial $$'!W90/'FY21 FTE'!W$120</f>
        <v>1</v>
      </c>
      <c r="X90" s="28">
        <f>'FY21 Final Initial $$'!X90/'FY21 FTE'!X$120</f>
        <v>1</v>
      </c>
      <c r="Y90" s="28">
        <f>'FY21 Final Initial $$'!Y90/'FY21 FTE'!Y$120</f>
        <v>1</v>
      </c>
      <c r="Z90" s="28">
        <f>'FY21 Final Initial $$'!Z90/'FY21 FTE'!Z$120</f>
        <v>0</v>
      </c>
      <c r="AA90" s="28">
        <f>'FY21 Final Initial $$'!AA90/'FY21 FTE'!AA$120</f>
        <v>0</v>
      </c>
      <c r="AB90" s="28">
        <f>'FY21 Final Initial $$'!AB90/'FY21 FTE'!AB$120</f>
        <v>2</v>
      </c>
      <c r="AC90" s="28">
        <f>'FY21 Final Initial $$'!AC90/'FY21 FTE'!AC$120</f>
        <v>2</v>
      </c>
      <c r="AD90" s="28">
        <f>'FY21 Final Initial $$'!AD90/'FY21 FTE'!AD$120</f>
        <v>0</v>
      </c>
      <c r="AE90" s="28">
        <f>'FY21 Final Initial $$'!AE90/'FY21 FTE'!AE$120</f>
        <v>0</v>
      </c>
      <c r="AF90" s="28">
        <f>'FY21 Final Initial $$'!AF90/'FY21 FTE'!AF$120</f>
        <v>2</v>
      </c>
      <c r="AG90" s="28">
        <f>'FY21 Final Initial $$'!AG90/'FY21 FTE'!AG$120</f>
        <v>2</v>
      </c>
      <c r="AH90" s="28">
        <f>'FY21 Final Initial $$'!AH90/'FY21 FTE'!AH$120</f>
        <v>2</v>
      </c>
      <c r="AI90" s="28">
        <f>'FY21 Final Initial $$'!AI90/'FY21 FTE'!AI$120</f>
        <v>2</v>
      </c>
      <c r="AJ90" s="28">
        <f>'FY21 Final Initial $$'!AJ90/'FY21 FTE'!AJ$120</f>
        <v>2</v>
      </c>
      <c r="AK90" s="28">
        <f>'FY21 Final Initial $$'!AK90/'FY21 FTE'!AK$120</f>
        <v>2</v>
      </c>
      <c r="AL90" s="28">
        <f>'FY21 Final Initial $$'!AL90/'FY21 FTE'!AL$120</f>
        <v>2</v>
      </c>
      <c r="AM90" s="28">
        <f>'FY21 Final Initial $$'!AM90/'FY21 FTE'!AM$120</f>
        <v>2</v>
      </c>
      <c r="AN90" s="28">
        <f>'FY21 Final Initial $$'!AN90/'FY21 FTE'!AN$120</f>
        <v>2.0000000000000027</v>
      </c>
      <c r="AO90" s="28">
        <f>'FY21 Final Initial $$'!AO90/'FY21 FTE'!AO$120</f>
        <v>0</v>
      </c>
      <c r="AP90" s="28">
        <f>'FY21 Final Initial $$'!AP90/'FY21 FTE'!AP$120</f>
        <v>0</v>
      </c>
      <c r="AQ90" s="28">
        <f>'FY21 Final Initial $$'!AQ90/'FY21 FTE'!AQ$120</f>
        <v>0</v>
      </c>
      <c r="AR90" s="28">
        <f>'FY21 Final Initial $$'!AR90/'FY21 FTE'!AR$120</f>
        <v>0</v>
      </c>
      <c r="AS90" s="28">
        <f>'FY21 Final Initial $$'!AS90/'FY21 FTE'!AS$120</f>
        <v>0</v>
      </c>
      <c r="AT90" s="28">
        <f>'FY21 Final Initial $$'!AT90/'FY21 FTE'!AT$120</f>
        <v>0</v>
      </c>
      <c r="AU90" s="28">
        <f>'FY21 Final Initial $$'!AU90/'FY21 FTE'!AU$120</f>
        <v>0</v>
      </c>
      <c r="AV90" s="28">
        <f>'FY21 Final Initial $$'!AV90/'FY21 FTE'!AV$120</f>
        <v>0</v>
      </c>
      <c r="AW90" s="28">
        <f>'FY21 Final Initial $$'!AW90/'FY21 FTE'!AW$120</f>
        <v>0</v>
      </c>
      <c r="AX90" s="28">
        <f>'FY21 Final Initial $$'!AX90/'FY21 FTE'!AX$120</f>
        <v>0</v>
      </c>
      <c r="AY90" s="28">
        <f>'FY21 Final Initial $$'!AY90/'FY21 FTE'!AY$120</f>
        <v>1</v>
      </c>
      <c r="AZ90" s="28">
        <f>'FY21 Final Initial $$'!AZ90/'FY21 FTE'!AZ$120</f>
        <v>1</v>
      </c>
      <c r="BA90" s="28">
        <f>'FY21 Final Initial $$'!BA90/'FY21 FTE'!BA$120</f>
        <v>6</v>
      </c>
      <c r="BB90" s="28">
        <f>'FY21 Final Initial $$'!BB90/'FY21 FTE'!BB$120</f>
        <v>4</v>
      </c>
      <c r="BC90" s="28">
        <f>'FY21 Final Initial $$'!BC90/'FY21 FTE'!BC$120</f>
        <v>0</v>
      </c>
      <c r="BD90" s="28">
        <f>'FY21 Final Initial $$'!BD90/'FY21 FTE'!BD$120</f>
        <v>0</v>
      </c>
      <c r="BE90" s="28">
        <f>'FY21 Final Initial $$'!BE90/'FY21 FTE'!BE$120</f>
        <v>9.0909090909090912E-2</v>
      </c>
      <c r="BF90" s="28">
        <f>'FY21 Final Initial $$'!BF90/'FY21 FTE'!BF$120</f>
        <v>0</v>
      </c>
      <c r="BG90" s="28">
        <f>'FY21 Final Initial $$'!BG90/'FY21 FTE'!BG$120</f>
        <v>0</v>
      </c>
      <c r="BH90" s="28">
        <f>'FY21 Final Initial $$'!BH90/'FY21 FTE'!BH$120</f>
        <v>2</v>
      </c>
      <c r="BI90" s="28">
        <f>'FY21 Final Initial $$'!BI90/'FY21 FTE'!BI$120</f>
        <v>2</v>
      </c>
      <c r="BJ90" s="28">
        <f>'FY21 Final Initial $$'!BJ90/'FY21 FTE'!BJ$120</f>
        <v>0</v>
      </c>
      <c r="BK90" s="20">
        <v>0</v>
      </c>
      <c r="BL90" s="20"/>
      <c r="BM90" s="20"/>
      <c r="BN90" s="20">
        <v>112936.33</v>
      </c>
      <c r="BO90" s="20">
        <v>1868.41</v>
      </c>
      <c r="BP90" s="20">
        <v>0</v>
      </c>
      <c r="BQ90" s="28">
        <f>'FY21 Final Initial $$'!BQ90/'FY21 FTE'!BQ$120</f>
        <v>0</v>
      </c>
      <c r="BR90" s="28">
        <f>'FY21 Final Initial $$'!BR90/'FY21 FTE'!BR$120</f>
        <v>0</v>
      </c>
      <c r="BS90" s="28">
        <f>'FY21 Final Initial $$'!BS90/'FY21 FTE'!BS$120</f>
        <v>0</v>
      </c>
      <c r="BT90" s="28">
        <f>'FY21 Final Initial $$'!BT90/'FY21 FTE'!BT$120</f>
        <v>0</v>
      </c>
      <c r="BU90" s="28">
        <f>'FY21 Final Initial $$'!BU90/'FY21 FTE'!BU$120</f>
        <v>0</v>
      </c>
      <c r="BV90" s="28">
        <f>'FY21 Final Initial $$'!BV90/'FY21 FTE'!BV$120</f>
        <v>0</v>
      </c>
      <c r="BW90" s="28">
        <f>'FY21 Final Initial $$'!BW90/'FY21 FTE'!BW$120</f>
        <v>0</v>
      </c>
      <c r="BX90" s="20">
        <v>0</v>
      </c>
      <c r="BY90" s="20">
        <v>0</v>
      </c>
      <c r="BZ90" s="20">
        <v>0</v>
      </c>
      <c r="CA90" s="20">
        <v>0</v>
      </c>
      <c r="CB90" s="28">
        <f>'FY21 Final Initial $$'!CB90/'FY21 FTE'!CB$120</f>
        <v>0</v>
      </c>
      <c r="CC90" s="28">
        <f>'FY21 Final Initial $$'!CC90/'FY21 FTE'!CC$120</f>
        <v>0</v>
      </c>
      <c r="CD90" s="20">
        <v>0</v>
      </c>
      <c r="CE90" s="28">
        <f>'FY21 Final Initial $$'!CE90/'FY21 FTE'!CE$120</f>
        <v>0</v>
      </c>
      <c r="CF90" s="28">
        <f>'FY21 Final Initial $$'!CF90/'FY21 FTE'!CF$120</f>
        <v>0</v>
      </c>
      <c r="CG90" s="28">
        <f>'FY21 Final Initial $$'!CG90/'FY21 FTE'!CG$120</f>
        <v>0</v>
      </c>
      <c r="CH90" s="28">
        <f>'FY21 Final Initial $$'!CH90/'FY21 FTE'!CH$120</f>
        <v>0</v>
      </c>
      <c r="CI90" s="28">
        <f>'FY21 Final Initial $$'!CI90/'FY21 FTE'!CI$120</f>
        <v>0</v>
      </c>
      <c r="CJ90" s="28">
        <f>'FY21 Final Initial $$'!CJ90/'FY21 FTE'!CJ$120</f>
        <v>0</v>
      </c>
      <c r="CK90" s="28">
        <f>'FY21 Final Initial $$'!CK90/'FY21 FTE'!CK$120</f>
        <v>0</v>
      </c>
      <c r="CL90" s="28">
        <f>'FY21 Final Initial $$'!CL90/'FY21 FTE'!CL$120</f>
        <v>0</v>
      </c>
      <c r="CM90" s="20">
        <v>0</v>
      </c>
      <c r="CN90" s="20">
        <v>0</v>
      </c>
      <c r="CO90" s="20">
        <v>111843.51999999999</v>
      </c>
      <c r="CP90" s="20">
        <v>0</v>
      </c>
      <c r="CQ90" s="28">
        <f>'FY21 Final Initial $$'!CQ90/'FY21 FTE'!CQ$120</f>
        <v>0</v>
      </c>
      <c r="CR90" s="20">
        <v>0</v>
      </c>
      <c r="CS90" s="20">
        <v>9040</v>
      </c>
      <c r="CT90" s="20">
        <v>116280</v>
      </c>
      <c r="CU90" s="20">
        <v>15989.627906976744</v>
      </c>
      <c r="CV90" s="28">
        <f>'FY21 Final Initial $$'!CV90/'FY21 FTE'!CV$120</f>
        <v>0</v>
      </c>
      <c r="CW90" s="28">
        <f>'FY21 Final Initial $$'!CW90/'FY21 FTE'!CW$120</f>
        <v>0</v>
      </c>
      <c r="CX90" s="20">
        <v>0</v>
      </c>
      <c r="CY90" s="28">
        <f>'FY21 Final Initial $$'!CY90/'FY21 FTE'!CY$120</f>
        <v>0</v>
      </c>
      <c r="CZ90" s="20">
        <v>0</v>
      </c>
      <c r="DA90" s="20">
        <v>0</v>
      </c>
      <c r="DB90" s="20">
        <v>27600</v>
      </c>
      <c r="DC90" s="20">
        <v>66083.451191520595</v>
      </c>
      <c r="DD90" s="20">
        <v>0</v>
      </c>
      <c r="DE90" s="20">
        <v>0</v>
      </c>
      <c r="DF90" s="20">
        <v>0</v>
      </c>
      <c r="DG90" s="20">
        <v>0</v>
      </c>
      <c r="DH90" s="28">
        <f>'FY21 Final Initial $$'!DH90/'FY21 FTE'!DH$120</f>
        <v>0</v>
      </c>
      <c r="DI90" s="20"/>
      <c r="DJ90" s="20">
        <v>22425.000968575478</v>
      </c>
      <c r="DK90" s="22">
        <v>0</v>
      </c>
      <c r="DL90" s="20">
        <v>0</v>
      </c>
      <c r="DM90" s="20">
        <v>0</v>
      </c>
      <c r="DN90" s="20">
        <v>4526048.5258758059</v>
      </c>
      <c r="DO90" s="29">
        <f t="shared" si="6"/>
        <v>6</v>
      </c>
      <c r="DP90" s="29">
        <f t="shared" si="6"/>
        <v>6</v>
      </c>
      <c r="DQ90" s="29">
        <f t="shared" si="7"/>
        <v>10.000000000000004</v>
      </c>
      <c r="DR90" s="29">
        <f t="shared" si="8"/>
        <v>8.0909090909090917</v>
      </c>
      <c r="DS90" s="29">
        <f t="shared" si="9"/>
        <v>4</v>
      </c>
    </row>
    <row r="91" spans="1:123" x14ac:dyDescent="0.25">
      <c r="A91" s="18">
        <v>409</v>
      </c>
      <c r="B91" t="s">
        <v>232</v>
      </c>
      <c r="C91" t="s">
        <v>150</v>
      </c>
      <c r="D91">
        <v>2</v>
      </c>
      <c r="E91">
        <v>587</v>
      </c>
      <c r="F91" s="19">
        <f t="shared" si="5"/>
        <v>0.22827938671209541</v>
      </c>
      <c r="G91">
        <v>134</v>
      </c>
      <c r="H91" s="28">
        <f>'FY21 Final Initial $$'!H91/'FY21 FTE'!H$120</f>
        <v>0.5</v>
      </c>
      <c r="I91" s="28">
        <f>'FY21 Final Initial $$'!I91/'FY21 FTE'!I$120</f>
        <v>1</v>
      </c>
      <c r="J91" s="28">
        <f>'FY21 Final Initial $$'!J91/'FY21 FTE'!J$120</f>
        <v>2.7</v>
      </c>
      <c r="K91" s="28">
        <f>'FY21 Final Initial $$'!K91/'FY21 FTE'!K$120</f>
        <v>1</v>
      </c>
      <c r="L91" s="28">
        <f>'FY21 Final Initial $$'!L91/'FY21 FTE'!L$120</f>
        <v>0</v>
      </c>
      <c r="M91" s="28">
        <f>'FY21 Final Initial $$'!M91/'FY21 FTE'!M$120</f>
        <v>1</v>
      </c>
      <c r="N91" s="28">
        <f>'FY21 Final Initial $$'!N91/'FY21 FTE'!N$120</f>
        <v>1</v>
      </c>
      <c r="O91" s="28">
        <f>'FY21 Final Initial $$'!O91/'FY21 FTE'!O$120</f>
        <v>1.5</v>
      </c>
      <c r="P91" s="28">
        <f>'FY21 Final Initial $$'!P91/'FY21 FTE'!P$120</f>
        <v>0</v>
      </c>
      <c r="Q91" s="28">
        <f>'FY21 Final Initial $$'!Q91/'FY21 FTE'!Q$120</f>
        <v>0</v>
      </c>
      <c r="R91" s="28">
        <f>'FY21 Final Initial $$'!R91/'FY21 FTE'!R$120</f>
        <v>0</v>
      </c>
      <c r="S91" s="28">
        <f>'FY21 Final Initial $$'!S91/'FY21 FTE'!S$120</f>
        <v>1</v>
      </c>
      <c r="T91" s="28">
        <f>'FY21 Final Initial $$'!T91/'FY21 FTE'!T$120</f>
        <v>1</v>
      </c>
      <c r="U91" s="28">
        <f>'FY21 Final Initial $$'!U91/'FY21 FTE'!U$120</f>
        <v>3</v>
      </c>
      <c r="V91" s="28">
        <f>'FY21 Final Initial $$'!V91/'FY21 FTE'!V$120</f>
        <v>1</v>
      </c>
      <c r="W91" s="28">
        <f>'FY21 Final Initial $$'!W91/'FY21 FTE'!W$120</f>
        <v>1</v>
      </c>
      <c r="X91" s="28">
        <f>'FY21 Final Initial $$'!X91/'FY21 FTE'!X$120</f>
        <v>1</v>
      </c>
      <c r="Y91" s="28">
        <f>'FY21 Final Initial $$'!Y91/'FY21 FTE'!Y$120</f>
        <v>1</v>
      </c>
      <c r="Z91" s="28">
        <f>'FY21 Final Initial $$'!Z91/'FY21 FTE'!Z$120</f>
        <v>0</v>
      </c>
      <c r="AA91" s="28">
        <f>'FY21 Final Initial $$'!AA91/'FY21 FTE'!AA$120</f>
        <v>0</v>
      </c>
      <c r="AB91" s="28">
        <f>'FY21 Final Initial $$'!AB91/'FY21 FTE'!AB$120</f>
        <v>2</v>
      </c>
      <c r="AC91" s="28">
        <f>'FY21 Final Initial $$'!AC91/'FY21 FTE'!AC$120</f>
        <v>2</v>
      </c>
      <c r="AD91" s="28">
        <f>'FY21 Final Initial $$'!AD91/'FY21 FTE'!AD$120</f>
        <v>1</v>
      </c>
      <c r="AE91" s="28">
        <f>'FY21 Final Initial $$'!AE91/'FY21 FTE'!AE$120</f>
        <v>1</v>
      </c>
      <c r="AF91" s="28">
        <f>'FY21 Final Initial $$'!AF91/'FY21 FTE'!AF$120</f>
        <v>2</v>
      </c>
      <c r="AG91" s="28">
        <f>'FY21 Final Initial $$'!AG91/'FY21 FTE'!AG$120</f>
        <v>2</v>
      </c>
      <c r="AH91" s="28">
        <f>'FY21 Final Initial $$'!AH91/'FY21 FTE'!AH$120</f>
        <v>2</v>
      </c>
      <c r="AI91" s="28">
        <f>'FY21 Final Initial $$'!AI91/'FY21 FTE'!AI$120</f>
        <v>2</v>
      </c>
      <c r="AJ91" s="28">
        <f>'FY21 Final Initial $$'!AJ91/'FY21 FTE'!AJ$120</f>
        <v>2</v>
      </c>
      <c r="AK91" s="28">
        <f>'FY21 Final Initial $$'!AK91/'FY21 FTE'!AK$120</f>
        <v>2</v>
      </c>
      <c r="AL91" s="28">
        <f>'FY21 Final Initial $$'!AL91/'FY21 FTE'!AL$120</f>
        <v>2</v>
      </c>
      <c r="AM91" s="28">
        <f>'FY21 Final Initial $$'!AM91/'FY21 FTE'!AM$120</f>
        <v>2</v>
      </c>
      <c r="AN91" s="28">
        <f>'FY21 Final Initial $$'!AN91/'FY21 FTE'!AN$120</f>
        <v>2.0000000000000027</v>
      </c>
      <c r="AO91" s="28">
        <f>'FY21 Final Initial $$'!AO91/'FY21 FTE'!AO$120</f>
        <v>4.5999999999999996</v>
      </c>
      <c r="AP91" s="28">
        <f>'FY21 Final Initial $$'!AP91/'FY21 FTE'!AP$120</f>
        <v>4.3</v>
      </c>
      <c r="AQ91" s="28">
        <f>'FY21 Final Initial $$'!AQ91/'FY21 FTE'!AQ$120</f>
        <v>3.2999999999999994</v>
      </c>
      <c r="AR91" s="28">
        <f>'FY21 Final Initial $$'!AR91/'FY21 FTE'!AR$120</f>
        <v>0</v>
      </c>
      <c r="AS91" s="28">
        <f>'FY21 Final Initial $$'!AS91/'FY21 FTE'!AS$120</f>
        <v>0</v>
      </c>
      <c r="AT91" s="28">
        <f>'FY21 Final Initial $$'!AT91/'FY21 FTE'!AT$120</f>
        <v>0</v>
      </c>
      <c r="AU91" s="28">
        <f>'FY21 Final Initial $$'!AU91/'FY21 FTE'!AU$120</f>
        <v>0</v>
      </c>
      <c r="AV91" s="28">
        <f>'FY21 Final Initial $$'!AV91/'FY21 FTE'!AV$120</f>
        <v>0</v>
      </c>
      <c r="AW91" s="28">
        <f>'FY21 Final Initial $$'!AW91/'FY21 FTE'!AW$120</f>
        <v>0</v>
      </c>
      <c r="AX91" s="28">
        <f>'FY21 Final Initial $$'!AX91/'FY21 FTE'!AX$120</f>
        <v>0</v>
      </c>
      <c r="AY91" s="28">
        <f>'FY21 Final Initial $$'!AY91/'FY21 FTE'!AY$120</f>
        <v>0.5</v>
      </c>
      <c r="AZ91" s="28">
        <f>'FY21 Final Initial $$'!AZ91/'FY21 FTE'!AZ$120</f>
        <v>2</v>
      </c>
      <c r="BA91" s="28">
        <f>'FY21 Final Initial $$'!BA91/'FY21 FTE'!BA$120</f>
        <v>10</v>
      </c>
      <c r="BB91" s="28">
        <f>'FY21 Final Initial $$'!BB91/'FY21 FTE'!BB$120</f>
        <v>5</v>
      </c>
      <c r="BC91" s="28">
        <f>'FY21 Final Initial $$'!BC91/'FY21 FTE'!BC$120</f>
        <v>0</v>
      </c>
      <c r="BD91" s="28">
        <f>'FY21 Final Initial $$'!BD91/'FY21 FTE'!BD$120</f>
        <v>1</v>
      </c>
      <c r="BE91" s="28">
        <f>'FY21 Final Initial $$'!BE91/'FY21 FTE'!BE$120</f>
        <v>5</v>
      </c>
      <c r="BF91" s="28">
        <f>'FY21 Final Initial $$'!BF91/'FY21 FTE'!BF$120</f>
        <v>0</v>
      </c>
      <c r="BG91" s="28">
        <f>'FY21 Final Initial $$'!BG91/'FY21 FTE'!BG$120</f>
        <v>1</v>
      </c>
      <c r="BH91" s="28">
        <f>'FY21 Final Initial $$'!BH91/'FY21 FTE'!BH$120</f>
        <v>0</v>
      </c>
      <c r="BI91" s="28">
        <f>'FY21 Final Initial $$'!BI91/'FY21 FTE'!BI$120</f>
        <v>0</v>
      </c>
      <c r="BJ91" s="28">
        <f>'FY21 Final Initial $$'!BJ91/'FY21 FTE'!BJ$120</f>
        <v>0</v>
      </c>
      <c r="BK91" s="20">
        <v>0</v>
      </c>
      <c r="BL91" s="20"/>
      <c r="BM91" s="20"/>
      <c r="BN91" s="20">
        <v>0</v>
      </c>
      <c r="BO91" s="20">
        <v>0</v>
      </c>
      <c r="BP91" s="20">
        <v>13500</v>
      </c>
      <c r="BQ91" s="28">
        <f>'FY21 Final Initial $$'!BQ91/'FY21 FTE'!BQ$120</f>
        <v>0</v>
      </c>
      <c r="BR91" s="28">
        <f>'FY21 Final Initial $$'!BR91/'FY21 FTE'!BR$120</f>
        <v>0</v>
      </c>
      <c r="BS91" s="28">
        <f>'FY21 Final Initial $$'!BS91/'FY21 FTE'!BS$120</f>
        <v>0</v>
      </c>
      <c r="BT91" s="28">
        <f>'FY21 Final Initial $$'!BT91/'FY21 FTE'!BT$120</f>
        <v>0</v>
      </c>
      <c r="BU91" s="28">
        <f>'FY21 Final Initial $$'!BU91/'FY21 FTE'!BU$120</f>
        <v>0</v>
      </c>
      <c r="BV91" s="28">
        <f>'FY21 Final Initial $$'!BV91/'FY21 FTE'!BV$120</f>
        <v>0</v>
      </c>
      <c r="BW91" s="28">
        <f>'FY21 Final Initial $$'!BW91/'FY21 FTE'!BW$120</f>
        <v>0</v>
      </c>
      <c r="BX91" s="20">
        <v>0</v>
      </c>
      <c r="BY91" s="20">
        <v>0</v>
      </c>
      <c r="BZ91" s="20">
        <v>0</v>
      </c>
      <c r="CA91" s="20">
        <v>0</v>
      </c>
      <c r="CB91" s="28">
        <f>'FY21 Final Initial $$'!CB91/'FY21 FTE'!CB$120</f>
        <v>0</v>
      </c>
      <c r="CC91" s="28">
        <f>'FY21 Final Initial $$'!CC91/'FY21 FTE'!CC$120</f>
        <v>0</v>
      </c>
      <c r="CD91" s="20">
        <v>0</v>
      </c>
      <c r="CE91" s="28">
        <f>'FY21 Final Initial $$'!CE91/'FY21 FTE'!CE$120</f>
        <v>0</v>
      </c>
      <c r="CF91" s="28">
        <f>'FY21 Final Initial $$'!CF91/'FY21 FTE'!CF$120</f>
        <v>0</v>
      </c>
      <c r="CG91" s="28">
        <f>'FY21 Final Initial $$'!CG91/'FY21 FTE'!CG$120</f>
        <v>0</v>
      </c>
      <c r="CH91" s="28">
        <f>'FY21 Final Initial $$'!CH91/'FY21 FTE'!CH$120</f>
        <v>0</v>
      </c>
      <c r="CI91" s="28">
        <f>'FY21 Final Initial $$'!CI91/'FY21 FTE'!CI$120</f>
        <v>0</v>
      </c>
      <c r="CJ91" s="28">
        <f>'FY21 Final Initial $$'!CJ91/'FY21 FTE'!CJ$120</f>
        <v>0</v>
      </c>
      <c r="CK91" s="28">
        <f>'FY21 Final Initial $$'!CK91/'FY21 FTE'!CK$120</f>
        <v>2</v>
      </c>
      <c r="CL91" s="28">
        <f>'FY21 Final Initial $$'!CL91/'FY21 FTE'!CL$120</f>
        <v>0</v>
      </c>
      <c r="CM91" s="20">
        <v>23000</v>
      </c>
      <c r="CN91" s="20">
        <v>5000</v>
      </c>
      <c r="CO91" s="20">
        <v>111843.51999999999</v>
      </c>
      <c r="CP91" s="20">
        <v>100000</v>
      </c>
      <c r="CQ91" s="28">
        <f>'FY21 Final Initial $$'!CQ91/'FY21 FTE'!CQ$120</f>
        <v>0</v>
      </c>
      <c r="CR91" s="20">
        <v>0</v>
      </c>
      <c r="CS91" s="20">
        <v>0</v>
      </c>
      <c r="CT91" s="20">
        <v>0</v>
      </c>
      <c r="CU91" s="20">
        <v>37422.206432748542</v>
      </c>
      <c r="CV91" s="28">
        <f>'FY21 Final Initial $$'!CV91/'FY21 FTE'!CV$120</f>
        <v>0</v>
      </c>
      <c r="CW91" s="28">
        <f>'FY21 Final Initial $$'!CW91/'FY21 FTE'!CW$120</f>
        <v>0</v>
      </c>
      <c r="CX91" s="20">
        <v>0</v>
      </c>
      <c r="CY91" s="28">
        <f>'FY21 Final Initial $$'!CY91/'FY21 FTE'!CY$120</f>
        <v>0</v>
      </c>
      <c r="CZ91" s="20">
        <v>0</v>
      </c>
      <c r="DA91" s="20">
        <v>0</v>
      </c>
      <c r="DB91" s="20">
        <v>58700</v>
      </c>
      <c r="DC91" s="20">
        <v>125646.45142095798</v>
      </c>
      <c r="DD91" s="20">
        <v>0</v>
      </c>
      <c r="DE91" s="20">
        <v>0</v>
      </c>
      <c r="DF91" s="20">
        <v>0</v>
      </c>
      <c r="DG91" s="20">
        <v>0</v>
      </c>
      <c r="DH91" s="28">
        <f>'FY21 Final Initial $$'!DH91/'FY21 FTE'!DH$120</f>
        <v>0</v>
      </c>
      <c r="DI91" s="20"/>
      <c r="DJ91" s="20">
        <v>24750.000545009971</v>
      </c>
      <c r="DK91" s="22">
        <v>0</v>
      </c>
      <c r="DL91" s="20">
        <v>0</v>
      </c>
      <c r="DM91" s="20">
        <v>0</v>
      </c>
      <c r="DN91" s="20">
        <v>8203989.5958495233</v>
      </c>
      <c r="DO91" s="29">
        <f t="shared" si="6"/>
        <v>7</v>
      </c>
      <c r="DP91" s="29">
        <f t="shared" si="6"/>
        <v>7</v>
      </c>
      <c r="DQ91" s="29">
        <f t="shared" si="7"/>
        <v>22.200000000000003</v>
      </c>
      <c r="DR91" s="29">
        <f t="shared" si="8"/>
        <v>18.5</v>
      </c>
      <c r="DS91" s="29">
        <f t="shared" si="9"/>
        <v>5</v>
      </c>
    </row>
    <row r="92" spans="1:123" x14ac:dyDescent="0.25">
      <c r="A92" s="18">
        <v>466</v>
      </c>
      <c r="B92" t="s">
        <v>233</v>
      </c>
      <c r="C92" t="s">
        <v>138</v>
      </c>
      <c r="D92">
        <v>2</v>
      </c>
      <c r="E92">
        <v>600</v>
      </c>
      <c r="F92" s="19">
        <f t="shared" si="5"/>
        <v>0.17833333333333334</v>
      </c>
      <c r="G92">
        <v>107</v>
      </c>
      <c r="H92" s="28">
        <f>'FY21 Final Initial $$'!H92/'FY21 FTE'!H$120</f>
        <v>0.5</v>
      </c>
      <c r="I92" s="28">
        <f>'FY21 Final Initial $$'!I92/'FY21 FTE'!I$120</f>
        <v>1</v>
      </c>
      <c r="J92" s="28">
        <f>'FY21 Final Initial $$'!J92/'FY21 FTE'!J$120</f>
        <v>2</v>
      </c>
      <c r="K92" s="28">
        <f>'FY21 Final Initial $$'!K92/'FY21 FTE'!K$120</f>
        <v>0</v>
      </c>
      <c r="L92" s="28">
        <f>'FY21 Final Initial $$'!L92/'FY21 FTE'!L$120</f>
        <v>2.5</v>
      </c>
      <c r="M92" s="28">
        <f>'FY21 Final Initial $$'!M92/'FY21 FTE'!M$120</f>
        <v>1</v>
      </c>
      <c r="N92" s="28">
        <f>'FY21 Final Initial $$'!N92/'FY21 FTE'!N$120</f>
        <v>1</v>
      </c>
      <c r="O92" s="28">
        <f>'FY21 Final Initial $$'!O92/'FY21 FTE'!O$120</f>
        <v>1.5</v>
      </c>
      <c r="P92" s="28">
        <f>'FY21 Final Initial $$'!P92/'FY21 FTE'!P$120</f>
        <v>1</v>
      </c>
      <c r="Q92" s="28">
        <f>'FY21 Final Initial $$'!Q92/'FY21 FTE'!Q$120</f>
        <v>1.0000004487061702</v>
      </c>
      <c r="R92" s="28">
        <f>'FY21 Final Initial $$'!R92/'FY21 FTE'!R$120</f>
        <v>0</v>
      </c>
      <c r="S92" s="28">
        <f>'FY21 Final Initial $$'!S92/'FY21 FTE'!S$120</f>
        <v>1</v>
      </c>
      <c r="T92" s="28">
        <f>'FY21 Final Initial $$'!T92/'FY21 FTE'!T$120</f>
        <v>1</v>
      </c>
      <c r="U92" s="28">
        <f>'FY21 Final Initial $$'!U92/'FY21 FTE'!U$120</f>
        <v>3</v>
      </c>
      <c r="V92" s="28">
        <f>'FY21 Final Initial $$'!V92/'FY21 FTE'!V$120</f>
        <v>1</v>
      </c>
      <c r="W92" s="28">
        <f>'FY21 Final Initial $$'!W92/'FY21 FTE'!W$120</f>
        <v>0</v>
      </c>
      <c r="X92" s="28">
        <f>'FY21 Final Initial $$'!X92/'FY21 FTE'!X$120</f>
        <v>0</v>
      </c>
      <c r="Y92" s="28">
        <f>'FY21 Final Initial $$'!Y92/'FY21 FTE'!Y$120</f>
        <v>0</v>
      </c>
      <c r="Z92" s="28">
        <f>'FY21 Final Initial $$'!Z92/'FY21 FTE'!Z$120</f>
        <v>0</v>
      </c>
      <c r="AA92" s="28">
        <f>'FY21 Final Initial $$'!AA92/'FY21 FTE'!AA$120</f>
        <v>0</v>
      </c>
      <c r="AB92" s="28">
        <f>'FY21 Final Initial $$'!AB92/'FY21 FTE'!AB$120</f>
        <v>0</v>
      </c>
      <c r="AC92" s="28">
        <f>'FY21 Final Initial $$'!AC92/'FY21 FTE'!AC$120</f>
        <v>0</v>
      </c>
      <c r="AD92" s="28">
        <f>'FY21 Final Initial $$'!AD92/'FY21 FTE'!AD$120</f>
        <v>0</v>
      </c>
      <c r="AE92" s="28">
        <f>'FY21 Final Initial $$'!AE92/'FY21 FTE'!AE$120</f>
        <v>0</v>
      </c>
      <c r="AF92" s="28">
        <f>'FY21 Final Initial $$'!AF92/'FY21 FTE'!AF$120</f>
        <v>0</v>
      </c>
      <c r="AG92" s="28">
        <f>'FY21 Final Initial $$'!AG92/'FY21 FTE'!AG$120</f>
        <v>0</v>
      </c>
      <c r="AH92" s="28">
        <f>'FY21 Final Initial $$'!AH92/'FY21 FTE'!AH$120</f>
        <v>0</v>
      </c>
      <c r="AI92" s="28">
        <f>'FY21 Final Initial $$'!AI92/'FY21 FTE'!AI$120</f>
        <v>0</v>
      </c>
      <c r="AJ92" s="28">
        <f>'FY21 Final Initial $$'!AJ92/'FY21 FTE'!AJ$120</f>
        <v>0</v>
      </c>
      <c r="AK92" s="28">
        <f>'FY21 Final Initial $$'!AK92/'FY21 FTE'!AK$120</f>
        <v>0</v>
      </c>
      <c r="AL92" s="28">
        <f>'FY21 Final Initial $$'!AL92/'FY21 FTE'!AL$120</f>
        <v>0</v>
      </c>
      <c r="AM92" s="28">
        <f>'FY21 Final Initial $$'!AM92/'FY21 FTE'!AM$120</f>
        <v>0</v>
      </c>
      <c r="AN92" s="28">
        <f>'FY21 Final Initial $$'!AN92/'FY21 FTE'!AN$120</f>
        <v>0</v>
      </c>
      <c r="AO92" s="28">
        <f>'FY21 Final Initial $$'!AO92/'FY21 FTE'!AO$120</f>
        <v>0</v>
      </c>
      <c r="AP92" s="28">
        <f>'FY21 Final Initial $$'!AP92/'FY21 FTE'!AP$120</f>
        <v>0</v>
      </c>
      <c r="AQ92" s="28">
        <f>'FY21 Final Initial $$'!AQ92/'FY21 FTE'!AQ$120</f>
        <v>0</v>
      </c>
      <c r="AR92" s="28">
        <f>'FY21 Final Initial $$'!AR92/'FY21 FTE'!AR$120</f>
        <v>6.5</v>
      </c>
      <c r="AS92" s="28">
        <f>'FY21 Final Initial $$'!AS92/'FY21 FTE'!AS$120</f>
        <v>6</v>
      </c>
      <c r="AT92" s="28">
        <f>'FY21 Final Initial $$'!AT92/'FY21 FTE'!AT$120</f>
        <v>6.3</v>
      </c>
      <c r="AU92" s="28">
        <f>'FY21 Final Initial $$'!AU92/'FY21 FTE'!AU$120</f>
        <v>6.3</v>
      </c>
      <c r="AV92" s="28">
        <f>'FY21 Final Initial $$'!AV92/'FY21 FTE'!AV$120</f>
        <v>0</v>
      </c>
      <c r="AW92" s="28">
        <f>'FY21 Final Initial $$'!AW92/'FY21 FTE'!AW$120</f>
        <v>0</v>
      </c>
      <c r="AX92" s="28">
        <f>'FY21 Final Initial $$'!AX92/'FY21 FTE'!AX$120</f>
        <v>0</v>
      </c>
      <c r="AY92" s="28">
        <f>'FY21 Final Initial $$'!AY92/'FY21 FTE'!AY$120</f>
        <v>0.5</v>
      </c>
      <c r="AZ92" s="28">
        <f>'FY21 Final Initial $$'!AZ92/'FY21 FTE'!AZ$120</f>
        <v>2</v>
      </c>
      <c r="BA92" s="28">
        <f>'FY21 Final Initial $$'!BA92/'FY21 FTE'!BA$120</f>
        <v>2</v>
      </c>
      <c r="BB92" s="28">
        <f>'FY21 Final Initial $$'!BB92/'FY21 FTE'!BB$120</f>
        <v>2</v>
      </c>
      <c r="BC92" s="28">
        <f>'FY21 Final Initial $$'!BC92/'FY21 FTE'!BC$120</f>
        <v>0</v>
      </c>
      <c r="BD92" s="28">
        <f>'FY21 Final Initial $$'!BD92/'FY21 FTE'!BD$120</f>
        <v>1</v>
      </c>
      <c r="BE92" s="28">
        <f>'FY21 Final Initial $$'!BE92/'FY21 FTE'!BE$120</f>
        <v>9.0909090909090912E-2</v>
      </c>
      <c r="BF92" s="28">
        <f>'FY21 Final Initial $$'!BF92/'FY21 FTE'!BF$120</f>
        <v>0</v>
      </c>
      <c r="BG92" s="28">
        <f>'FY21 Final Initial $$'!BG92/'FY21 FTE'!BG$120</f>
        <v>0</v>
      </c>
      <c r="BH92" s="28">
        <f>'FY21 Final Initial $$'!BH92/'FY21 FTE'!BH$120</f>
        <v>0</v>
      </c>
      <c r="BI92" s="28">
        <f>'FY21 Final Initial $$'!BI92/'FY21 FTE'!BI$120</f>
        <v>0</v>
      </c>
      <c r="BJ92" s="28">
        <f>'FY21 Final Initial $$'!BJ92/'FY21 FTE'!BJ$120</f>
        <v>0</v>
      </c>
      <c r="BK92" s="20">
        <v>0</v>
      </c>
      <c r="BL92" s="20"/>
      <c r="BM92" s="20"/>
      <c r="BN92" s="20">
        <v>0</v>
      </c>
      <c r="BO92" s="20">
        <v>0</v>
      </c>
      <c r="BP92" s="20">
        <v>14775</v>
      </c>
      <c r="BQ92" s="28">
        <f>'FY21 Final Initial $$'!BQ92/'FY21 FTE'!BQ$120</f>
        <v>0</v>
      </c>
      <c r="BR92" s="28">
        <f>'FY21 Final Initial $$'!BR92/'FY21 FTE'!BR$120</f>
        <v>0</v>
      </c>
      <c r="BS92" s="28">
        <f>'FY21 Final Initial $$'!BS92/'FY21 FTE'!BS$120</f>
        <v>0</v>
      </c>
      <c r="BT92" s="28">
        <f>'FY21 Final Initial $$'!BT92/'FY21 FTE'!BT$120</f>
        <v>0</v>
      </c>
      <c r="BU92" s="28">
        <f>'FY21 Final Initial $$'!BU92/'FY21 FTE'!BU$120</f>
        <v>0</v>
      </c>
      <c r="BV92" s="28">
        <f>'FY21 Final Initial $$'!BV92/'FY21 FTE'!BV$120</f>
        <v>0</v>
      </c>
      <c r="BW92" s="28">
        <f>'FY21 Final Initial $$'!BW92/'FY21 FTE'!BW$120</f>
        <v>0</v>
      </c>
      <c r="BX92" s="20">
        <v>0</v>
      </c>
      <c r="BY92" s="20">
        <v>0</v>
      </c>
      <c r="BZ92" s="20">
        <v>0</v>
      </c>
      <c r="CA92" s="20">
        <v>0</v>
      </c>
      <c r="CB92" s="28">
        <f>'FY21 Final Initial $$'!CB92/'FY21 FTE'!CB$120</f>
        <v>0</v>
      </c>
      <c r="CC92" s="28">
        <f>'FY21 Final Initial $$'!CC92/'FY21 FTE'!CC$120</f>
        <v>0</v>
      </c>
      <c r="CD92" s="20">
        <v>0</v>
      </c>
      <c r="CE92" s="28">
        <f>'FY21 Final Initial $$'!CE92/'FY21 FTE'!CE$120</f>
        <v>0</v>
      </c>
      <c r="CF92" s="28">
        <f>'FY21 Final Initial $$'!CF92/'FY21 FTE'!CF$120</f>
        <v>0</v>
      </c>
      <c r="CG92" s="28">
        <f>'FY21 Final Initial $$'!CG92/'FY21 FTE'!CG$120</f>
        <v>0</v>
      </c>
      <c r="CH92" s="28">
        <f>'FY21 Final Initial $$'!CH92/'FY21 FTE'!CH$120</f>
        <v>0</v>
      </c>
      <c r="CI92" s="28">
        <f>'FY21 Final Initial $$'!CI92/'FY21 FTE'!CI$120</f>
        <v>0</v>
      </c>
      <c r="CJ92" s="28">
        <f>'FY21 Final Initial $$'!CJ92/'FY21 FTE'!CJ$120</f>
        <v>0</v>
      </c>
      <c r="CK92" s="28">
        <f>'FY21 Final Initial $$'!CK92/'FY21 FTE'!CK$120</f>
        <v>0</v>
      </c>
      <c r="CL92" s="28">
        <f>'FY21 Final Initial $$'!CL92/'FY21 FTE'!CL$120</f>
        <v>0</v>
      </c>
      <c r="CM92" s="20">
        <v>0</v>
      </c>
      <c r="CN92" s="20">
        <v>0</v>
      </c>
      <c r="CO92" s="20">
        <v>244045.91999999998</v>
      </c>
      <c r="CP92" s="20">
        <v>0</v>
      </c>
      <c r="CQ92" s="28">
        <f>'FY21 Final Initial $$'!CQ92/'FY21 FTE'!CQ$120</f>
        <v>1</v>
      </c>
      <c r="CR92" s="20">
        <v>0</v>
      </c>
      <c r="CS92" s="20">
        <v>0</v>
      </c>
      <c r="CT92" s="20">
        <v>0</v>
      </c>
      <c r="CU92" s="20">
        <v>75769.076923076922</v>
      </c>
      <c r="CV92" s="28">
        <f>'FY21 Final Initial $$'!CV92/'FY21 FTE'!CV$120</f>
        <v>0</v>
      </c>
      <c r="CW92" s="28">
        <f>'FY21 Final Initial $$'!CW92/'FY21 FTE'!CW$120</f>
        <v>0</v>
      </c>
      <c r="CX92" s="20">
        <v>0</v>
      </c>
      <c r="CY92" s="28">
        <f>'FY21 Final Initial $$'!CY92/'FY21 FTE'!CY$120</f>
        <v>0</v>
      </c>
      <c r="CZ92" s="20">
        <v>0</v>
      </c>
      <c r="DA92" s="20">
        <v>0</v>
      </c>
      <c r="DB92" s="20">
        <v>60000</v>
      </c>
      <c r="DC92" s="20">
        <v>82850.880580266996</v>
      </c>
      <c r="DD92" s="20">
        <v>111880.69515088014</v>
      </c>
      <c r="DE92" s="20">
        <v>519436</v>
      </c>
      <c r="DF92" s="20">
        <v>0</v>
      </c>
      <c r="DG92" s="20">
        <v>0</v>
      </c>
      <c r="DH92" s="28">
        <f>'FY21 Final Initial $$'!DH92/'FY21 FTE'!DH$120</f>
        <v>0</v>
      </c>
      <c r="DI92" s="20"/>
      <c r="DJ92" s="20">
        <v>699.99999445863068</v>
      </c>
      <c r="DK92" s="22">
        <v>0</v>
      </c>
      <c r="DL92" s="20">
        <v>29121.210243749432</v>
      </c>
      <c r="DM92" s="20">
        <v>125000</v>
      </c>
      <c r="DN92" s="20">
        <v>6409596.2102382099</v>
      </c>
      <c r="DO92" s="29">
        <f t="shared" si="6"/>
        <v>0</v>
      </c>
      <c r="DP92" s="29">
        <f t="shared" si="6"/>
        <v>0</v>
      </c>
      <c r="DQ92" s="29">
        <f t="shared" si="7"/>
        <v>25.1</v>
      </c>
      <c r="DR92" s="29">
        <f t="shared" si="8"/>
        <v>4.5909090909090908</v>
      </c>
      <c r="DS92" s="29">
        <f t="shared" si="9"/>
        <v>2</v>
      </c>
    </row>
    <row r="93" spans="1:123" x14ac:dyDescent="0.25">
      <c r="A93" s="18">
        <v>175</v>
      </c>
      <c r="B93" t="s">
        <v>234</v>
      </c>
      <c r="C93" t="s">
        <v>135</v>
      </c>
      <c r="D93">
        <v>6</v>
      </c>
      <c r="E93">
        <v>311</v>
      </c>
      <c r="F93" s="19">
        <f t="shared" si="5"/>
        <v>5.1446945337620578E-2</v>
      </c>
      <c r="G93">
        <v>16</v>
      </c>
      <c r="H93" s="28">
        <f>'FY21 Final Initial $$'!H93/'FY21 FTE'!H$120</f>
        <v>1</v>
      </c>
      <c r="I93" s="28">
        <f>'FY21 Final Initial $$'!I93/'FY21 FTE'!I$120</f>
        <v>1</v>
      </c>
      <c r="J93" s="28">
        <f>'FY21 Final Initial $$'!J93/'FY21 FTE'!J$120</f>
        <v>0.8</v>
      </c>
      <c r="K93" s="28">
        <f>'FY21 Final Initial $$'!K93/'FY21 FTE'!K$120</f>
        <v>0</v>
      </c>
      <c r="L93" s="28">
        <f>'FY21 Final Initial $$'!L93/'FY21 FTE'!L$120</f>
        <v>0</v>
      </c>
      <c r="M93" s="28">
        <f>'FY21 Final Initial $$'!M93/'FY21 FTE'!M$120</f>
        <v>1</v>
      </c>
      <c r="N93" s="28">
        <f>'FY21 Final Initial $$'!N93/'FY21 FTE'!N$120</f>
        <v>1</v>
      </c>
      <c r="O93" s="28">
        <f>'FY21 Final Initial $$'!O93/'FY21 FTE'!O$120</f>
        <v>0</v>
      </c>
      <c r="P93" s="28">
        <f>'FY21 Final Initial $$'!P93/'FY21 FTE'!P$120</f>
        <v>0</v>
      </c>
      <c r="Q93" s="28">
        <f>'FY21 Final Initial $$'!Q93/'FY21 FTE'!Q$120</f>
        <v>0</v>
      </c>
      <c r="R93" s="28">
        <f>'FY21 Final Initial $$'!R93/'FY21 FTE'!R$120</f>
        <v>0</v>
      </c>
      <c r="S93" s="28">
        <f>'FY21 Final Initial $$'!S93/'FY21 FTE'!S$120</f>
        <v>1</v>
      </c>
      <c r="T93" s="28">
        <f>'FY21 Final Initial $$'!T93/'FY21 FTE'!T$120</f>
        <v>1</v>
      </c>
      <c r="U93" s="28">
        <f>'FY21 Final Initial $$'!U93/'FY21 FTE'!U$120</f>
        <v>2</v>
      </c>
      <c r="V93" s="28">
        <f>'FY21 Final Initial $$'!V93/'FY21 FTE'!V$120</f>
        <v>1</v>
      </c>
      <c r="W93" s="28">
        <f>'FY21 Final Initial $$'!W93/'FY21 FTE'!W$120</f>
        <v>1</v>
      </c>
      <c r="X93" s="28">
        <f>'FY21 Final Initial $$'!X93/'FY21 FTE'!X$120</f>
        <v>1</v>
      </c>
      <c r="Y93" s="28">
        <f>'FY21 Final Initial $$'!Y93/'FY21 FTE'!Y$120</f>
        <v>1</v>
      </c>
      <c r="Z93" s="28">
        <f>'FY21 Final Initial $$'!Z93/'FY21 FTE'!Z$120</f>
        <v>0</v>
      </c>
      <c r="AA93" s="28">
        <f>'FY21 Final Initial $$'!AA93/'FY21 FTE'!AA$120</f>
        <v>0</v>
      </c>
      <c r="AB93" s="28">
        <f>'FY21 Final Initial $$'!AB93/'FY21 FTE'!AB$120</f>
        <v>2</v>
      </c>
      <c r="AC93" s="28">
        <f>'FY21 Final Initial $$'!AC93/'FY21 FTE'!AC$120</f>
        <v>2</v>
      </c>
      <c r="AD93" s="28">
        <f>'FY21 Final Initial $$'!AD93/'FY21 FTE'!AD$120</f>
        <v>0</v>
      </c>
      <c r="AE93" s="28">
        <f>'FY21 Final Initial $$'!AE93/'FY21 FTE'!AE$120</f>
        <v>0</v>
      </c>
      <c r="AF93" s="28">
        <f>'FY21 Final Initial $$'!AF93/'FY21 FTE'!AF$120</f>
        <v>2</v>
      </c>
      <c r="AG93" s="28">
        <f>'FY21 Final Initial $$'!AG93/'FY21 FTE'!AG$120</f>
        <v>2</v>
      </c>
      <c r="AH93" s="28">
        <f>'FY21 Final Initial $$'!AH93/'FY21 FTE'!AH$120</f>
        <v>3</v>
      </c>
      <c r="AI93" s="28">
        <f>'FY21 Final Initial $$'!AI93/'FY21 FTE'!AI$120</f>
        <v>3</v>
      </c>
      <c r="AJ93" s="28">
        <f>'FY21 Final Initial $$'!AJ93/'FY21 FTE'!AJ$120</f>
        <v>2</v>
      </c>
      <c r="AK93" s="28">
        <f>'FY21 Final Initial $$'!AK93/'FY21 FTE'!AK$120</f>
        <v>2</v>
      </c>
      <c r="AL93" s="28">
        <f>'FY21 Final Initial $$'!AL93/'FY21 FTE'!AL$120</f>
        <v>2</v>
      </c>
      <c r="AM93" s="28">
        <f>'FY21 Final Initial $$'!AM93/'FY21 FTE'!AM$120</f>
        <v>2</v>
      </c>
      <c r="AN93" s="28">
        <f>'FY21 Final Initial $$'!AN93/'FY21 FTE'!AN$120</f>
        <v>1.0000000000000013</v>
      </c>
      <c r="AO93" s="28">
        <f>'FY21 Final Initial $$'!AO93/'FY21 FTE'!AO$120</f>
        <v>0</v>
      </c>
      <c r="AP93" s="28">
        <f>'FY21 Final Initial $$'!AP93/'FY21 FTE'!AP$120</f>
        <v>0</v>
      </c>
      <c r="AQ93" s="28">
        <f>'FY21 Final Initial $$'!AQ93/'FY21 FTE'!AQ$120</f>
        <v>0</v>
      </c>
      <c r="AR93" s="28">
        <f>'FY21 Final Initial $$'!AR93/'FY21 FTE'!AR$120</f>
        <v>0</v>
      </c>
      <c r="AS93" s="28">
        <f>'FY21 Final Initial $$'!AS93/'FY21 FTE'!AS$120</f>
        <v>0</v>
      </c>
      <c r="AT93" s="28">
        <f>'FY21 Final Initial $$'!AT93/'FY21 FTE'!AT$120</f>
        <v>0</v>
      </c>
      <c r="AU93" s="28">
        <f>'FY21 Final Initial $$'!AU93/'FY21 FTE'!AU$120</f>
        <v>0</v>
      </c>
      <c r="AV93" s="28">
        <f>'FY21 Final Initial $$'!AV93/'FY21 FTE'!AV$120</f>
        <v>0</v>
      </c>
      <c r="AW93" s="28">
        <f>'FY21 Final Initial $$'!AW93/'FY21 FTE'!AW$120</f>
        <v>0</v>
      </c>
      <c r="AX93" s="28">
        <f>'FY21 Final Initial $$'!AX93/'FY21 FTE'!AX$120</f>
        <v>0</v>
      </c>
      <c r="AY93" s="28">
        <f>'FY21 Final Initial $$'!AY93/'FY21 FTE'!AY$120</f>
        <v>1</v>
      </c>
      <c r="AZ93" s="28">
        <f>'FY21 Final Initial $$'!AZ93/'FY21 FTE'!AZ$120</f>
        <v>1.5</v>
      </c>
      <c r="BA93" s="28">
        <f>'FY21 Final Initial $$'!BA93/'FY21 FTE'!BA$120</f>
        <v>9</v>
      </c>
      <c r="BB93" s="28">
        <f>'FY21 Final Initial $$'!BB93/'FY21 FTE'!BB$120</f>
        <v>10</v>
      </c>
      <c r="BC93" s="28">
        <f>'FY21 Final Initial $$'!BC93/'FY21 FTE'!BC$120</f>
        <v>0</v>
      </c>
      <c r="BD93" s="28">
        <f>'FY21 Final Initial $$'!BD93/'FY21 FTE'!BD$120</f>
        <v>0</v>
      </c>
      <c r="BE93" s="28">
        <f>'FY21 Final Initial $$'!BE93/'FY21 FTE'!BE$120</f>
        <v>0.36363636363636365</v>
      </c>
      <c r="BF93" s="28">
        <f>'FY21 Final Initial $$'!BF93/'FY21 FTE'!BF$120</f>
        <v>0</v>
      </c>
      <c r="BG93" s="28">
        <f>'FY21 Final Initial $$'!BG93/'FY21 FTE'!BG$120</f>
        <v>0</v>
      </c>
      <c r="BH93" s="28">
        <f>'FY21 Final Initial $$'!BH93/'FY21 FTE'!BH$120</f>
        <v>0</v>
      </c>
      <c r="BI93" s="28">
        <f>'FY21 Final Initial $$'!BI93/'FY21 FTE'!BI$120</f>
        <v>0</v>
      </c>
      <c r="BJ93" s="28">
        <f>'FY21 Final Initial $$'!BJ93/'FY21 FTE'!BJ$120</f>
        <v>0</v>
      </c>
      <c r="BK93" s="20">
        <v>0</v>
      </c>
      <c r="BL93" s="20"/>
      <c r="BM93" s="20"/>
      <c r="BN93" s="20">
        <v>0</v>
      </c>
      <c r="BO93" s="20">
        <v>0</v>
      </c>
      <c r="BP93" s="20">
        <v>7925</v>
      </c>
      <c r="BQ93" s="28">
        <f>'FY21 Final Initial $$'!BQ93/'FY21 FTE'!BQ$120</f>
        <v>0</v>
      </c>
      <c r="BR93" s="28">
        <f>'FY21 Final Initial $$'!BR93/'FY21 FTE'!BR$120</f>
        <v>0</v>
      </c>
      <c r="BS93" s="28">
        <f>'FY21 Final Initial $$'!BS93/'FY21 FTE'!BS$120</f>
        <v>0</v>
      </c>
      <c r="BT93" s="28">
        <f>'FY21 Final Initial $$'!BT93/'FY21 FTE'!BT$120</f>
        <v>0</v>
      </c>
      <c r="BU93" s="28">
        <f>'FY21 Final Initial $$'!BU93/'FY21 FTE'!BU$120</f>
        <v>0</v>
      </c>
      <c r="BV93" s="28">
        <f>'FY21 Final Initial $$'!BV93/'FY21 FTE'!BV$120</f>
        <v>0</v>
      </c>
      <c r="BW93" s="28">
        <f>'FY21 Final Initial $$'!BW93/'FY21 FTE'!BW$120</f>
        <v>0</v>
      </c>
      <c r="BX93" s="20">
        <v>0</v>
      </c>
      <c r="BY93" s="20">
        <v>0</v>
      </c>
      <c r="BZ93" s="20">
        <v>0</v>
      </c>
      <c r="CA93" s="20">
        <v>0</v>
      </c>
      <c r="CB93" s="28">
        <f>'FY21 Final Initial $$'!CB93/'FY21 FTE'!CB$120</f>
        <v>0</v>
      </c>
      <c r="CC93" s="28">
        <f>'FY21 Final Initial $$'!CC93/'FY21 FTE'!CC$120</f>
        <v>0</v>
      </c>
      <c r="CD93" s="20">
        <v>0</v>
      </c>
      <c r="CE93" s="28">
        <f>'FY21 Final Initial $$'!CE93/'FY21 FTE'!CE$120</f>
        <v>0</v>
      </c>
      <c r="CF93" s="28">
        <f>'FY21 Final Initial $$'!CF93/'FY21 FTE'!CF$120</f>
        <v>0</v>
      </c>
      <c r="CG93" s="28">
        <f>'FY21 Final Initial $$'!CG93/'FY21 FTE'!CG$120</f>
        <v>0</v>
      </c>
      <c r="CH93" s="28">
        <f>'FY21 Final Initial $$'!CH93/'FY21 FTE'!CH$120</f>
        <v>0</v>
      </c>
      <c r="CI93" s="28">
        <f>'FY21 Final Initial $$'!CI93/'FY21 FTE'!CI$120</f>
        <v>0</v>
      </c>
      <c r="CJ93" s="28">
        <f>'FY21 Final Initial $$'!CJ93/'FY21 FTE'!CJ$120</f>
        <v>0</v>
      </c>
      <c r="CK93" s="28">
        <f>'FY21 Final Initial $$'!CK93/'FY21 FTE'!CK$120</f>
        <v>0</v>
      </c>
      <c r="CL93" s="28">
        <f>'FY21 Final Initial $$'!CL93/'FY21 FTE'!CL$120</f>
        <v>0</v>
      </c>
      <c r="CM93" s="20">
        <v>0</v>
      </c>
      <c r="CN93" s="20">
        <v>0</v>
      </c>
      <c r="CO93" s="20">
        <v>111843.51999999999</v>
      </c>
      <c r="CP93" s="20">
        <v>0</v>
      </c>
      <c r="CQ93" s="28">
        <f>'FY21 Final Initial $$'!CQ93/'FY21 FTE'!CQ$120</f>
        <v>0</v>
      </c>
      <c r="CR93" s="20">
        <v>0</v>
      </c>
      <c r="CS93" s="20">
        <v>0</v>
      </c>
      <c r="CT93" s="20">
        <v>0</v>
      </c>
      <c r="CU93" s="20">
        <v>17435.833333333332</v>
      </c>
      <c r="CV93" s="28">
        <f>'FY21 Final Initial $$'!CV93/'FY21 FTE'!CV$120</f>
        <v>0</v>
      </c>
      <c r="CW93" s="28">
        <f>'FY21 Final Initial $$'!CW93/'FY21 FTE'!CW$120</f>
        <v>0</v>
      </c>
      <c r="CX93" s="20">
        <v>0</v>
      </c>
      <c r="CY93" s="28">
        <f>'FY21 Final Initial $$'!CY93/'FY21 FTE'!CY$120</f>
        <v>0</v>
      </c>
      <c r="CZ93" s="20">
        <v>0</v>
      </c>
      <c r="DA93" s="20">
        <v>0</v>
      </c>
      <c r="DB93" s="20">
        <v>31100</v>
      </c>
      <c r="DC93" s="20">
        <v>79095.582390806943</v>
      </c>
      <c r="DD93" s="20">
        <v>0</v>
      </c>
      <c r="DE93" s="20">
        <v>0</v>
      </c>
      <c r="DF93" s="20">
        <v>0</v>
      </c>
      <c r="DG93" s="20">
        <v>0</v>
      </c>
      <c r="DH93" s="28">
        <f>'FY21 Final Initial $$'!DH93/'FY21 FTE'!DH$120</f>
        <v>0</v>
      </c>
      <c r="DI93" s="20"/>
      <c r="DJ93" s="20">
        <v>1749.9999722931534</v>
      </c>
      <c r="DK93" s="22">
        <v>0</v>
      </c>
      <c r="DL93" s="20">
        <v>0</v>
      </c>
      <c r="DM93" s="20">
        <v>0</v>
      </c>
      <c r="DN93" s="20">
        <v>5161919.0282931384</v>
      </c>
      <c r="DO93" s="29">
        <f t="shared" si="6"/>
        <v>7</v>
      </c>
      <c r="DP93" s="29">
        <f t="shared" si="6"/>
        <v>7</v>
      </c>
      <c r="DQ93" s="29">
        <f t="shared" si="7"/>
        <v>9.0000000000000018</v>
      </c>
      <c r="DR93" s="29">
        <f t="shared" si="8"/>
        <v>11.863636363636363</v>
      </c>
      <c r="DS93" s="29">
        <f t="shared" si="9"/>
        <v>10</v>
      </c>
    </row>
    <row r="94" spans="1:123" x14ac:dyDescent="0.25">
      <c r="A94" s="18">
        <v>309</v>
      </c>
      <c r="B94" t="s">
        <v>235</v>
      </c>
      <c r="C94" t="s">
        <v>135</v>
      </c>
      <c r="D94">
        <v>6</v>
      </c>
      <c r="E94">
        <v>400</v>
      </c>
      <c r="F94" s="19">
        <f t="shared" si="5"/>
        <v>0.47</v>
      </c>
      <c r="G94">
        <v>188</v>
      </c>
      <c r="H94" s="28">
        <f>'FY21 Final Initial $$'!H94/'FY21 FTE'!H$120</f>
        <v>1</v>
      </c>
      <c r="I94" s="28">
        <f>'FY21 Final Initial $$'!I94/'FY21 FTE'!I$120</f>
        <v>1</v>
      </c>
      <c r="J94" s="28">
        <f>'FY21 Final Initial $$'!J94/'FY21 FTE'!J$120</f>
        <v>1</v>
      </c>
      <c r="K94" s="28">
        <f>'FY21 Final Initial $$'!K94/'FY21 FTE'!K$120</f>
        <v>0</v>
      </c>
      <c r="L94" s="28">
        <f>'FY21 Final Initial $$'!L94/'FY21 FTE'!L$120</f>
        <v>0</v>
      </c>
      <c r="M94" s="28">
        <f>'FY21 Final Initial $$'!M94/'FY21 FTE'!M$120</f>
        <v>1</v>
      </c>
      <c r="N94" s="28">
        <f>'FY21 Final Initial $$'!N94/'FY21 FTE'!N$120</f>
        <v>1</v>
      </c>
      <c r="O94" s="28">
        <f>'FY21 Final Initial $$'!O94/'FY21 FTE'!O$120</f>
        <v>1</v>
      </c>
      <c r="P94" s="28">
        <f>'FY21 Final Initial $$'!P94/'FY21 FTE'!P$120</f>
        <v>0</v>
      </c>
      <c r="Q94" s="28">
        <f>'FY21 Final Initial $$'!Q94/'FY21 FTE'!Q$120</f>
        <v>0</v>
      </c>
      <c r="R94" s="28">
        <f>'FY21 Final Initial $$'!R94/'FY21 FTE'!R$120</f>
        <v>0</v>
      </c>
      <c r="S94" s="28">
        <f>'FY21 Final Initial $$'!S94/'FY21 FTE'!S$120</f>
        <v>1</v>
      </c>
      <c r="T94" s="28">
        <f>'FY21 Final Initial $$'!T94/'FY21 FTE'!T$120</f>
        <v>1</v>
      </c>
      <c r="U94" s="28">
        <f>'FY21 Final Initial $$'!U94/'FY21 FTE'!U$120</f>
        <v>2</v>
      </c>
      <c r="V94" s="28">
        <f>'FY21 Final Initial $$'!V94/'FY21 FTE'!V$120</f>
        <v>1</v>
      </c>
      <c r="W94" s="28">
        <f>'FY21 Final Initial $$'!W94/'FY21 FTE'!W$120</f>
        <v>1</v>
      </c>
      <c r="X94" s="28">
        <f>'FY21 Final Initial $$'!X94/'FY21 FTE'!X$120</f>
        <v>1</v>
      </c>
      <c r="Y94" s="28">
        <f>'FY21 Final Initial $$'!Y94/'FY21 FTE'!Y$120</f>
        <v>1</v>
      </c>
      <c r="Z94" s="28">
        <f>'FY21 Final Initial $$'!Z94/'FY21 FTE'!Z$120</f>
        <v>1.4999999999999964</v>
      </c>
      <c r="AA94" s="28">
        <f>'FY21 Final Initial $$'!AA94/'FY21 FTE'!AA$120</f>
        <v>1</v>
      </c>
      <c r="AB94" s="28">
        <f>'FY21 Final Initial $$'!AB94/'FY21 FTE'!AB$120</f>
        <v>3</v>
      </c>
      <c r="AC94" s="28">
        <f>'FY21 Final Initial $$'!AC94/'FY21 FTE'!AC$120</f>
        <v>3</v>
      </c>
      <c r="AD94" s="28">
        <f>'FY21 Final Initial $$'!AD94/'FY21 FTE'!AD$120</f>
        <v>0</v>
      </c>
      <c r="AE94" s="28">
        <f>'FY21 Final Initial $$'!AE94/'FY21 FTE'!AE$120</f>
        <v>0</v>
      </c>
      <c r="AF94" s="28">
        <f>'FY21 Final Initial $$'!AF94/'FY21 FTE'!AF$120</f>
        <v>3</v>
      </c>
      <c r="AG94" s="28">
        <f>'FY21 Final Initial $$'!AG94/'FY21 FTE'!AG$120</f>
        <v>3</v>
      </c>
      <c r="AH94" s="28">
        <f>'FY21 Final Initial $$'!AH94/'FY21 FTE'!AH$120</f>
        <v>3</v>
      </c>
      <c r="AI94" s="28">
        <f>'FY21 Final Initial $$'!AI94/'FY21 FTE'!AI$120</f>
        <v>3</v>
      </c>
      <c r="AJ94" s="28">
        <f>'FY21 Final Initial $$'!AJ94/'FY21 FTE'!AJ$120</f>
        <v>2</v>
      </c>
      <c r="AK94" s="28">
        <f>'FY21 Final Initial $$'!AK94/'FY21 FTE'!AK$120</f>
        <v>3</v>
      </c>
      <c r="AL94" s="28">
        <f>'FY21 Final Initial $$'!AL94/'FY21 FTE'!AL$120</f>
        <v>3</v>
      </c>
      <c r="AM94" s="28">
        <f>'FY21 Final Initial $$'!AM94/'FY21 FTE'!AM$120</f>
        <v>2</v>
      </c>
      <c r="AN94" s="28">
        <f>'FY21 Final Initial $$'!AN94/'FY21 FTE'!AN$120</f>
        <v>2.0000000000000027</v>
      </c>
      <c r="AO94" s="28">
        <f>'FY21 Final Initial $$'!AO94/'FY21 FTE'!AO$120</f>
        <v>0</v>
      </c>
      <c r="AP94" s="28">
        <f>'FY21 Final Initial $$'!AP94/'FY21 FTE'!AP$120</f>
        <v>0</v>
      </c>
      <c r="AQ94" s="28">
        <f>'FY21 Final Initial $$'!AQ94/'FY21 FTE'!AQ$120</f>
        <v>0</v>
      </c>
      <c r="AR94" s="28">
        <f>'FY21 Final Initial $$'!AR94/'FY21 FTE'!AR$120</f>
        <v>0</v>
      </c>
      <c r="AS94" s="28">
        <f>'FY21 Final Initial $$'!AS94/'FY21 FTE'!AS$120</f>
        <v>0</v>
      </c>
      <c r="AT94" s="28">
        <f>'FY21 Final Initial $$'!AT94/'FY21 FTE'!AT$120</f>
        <v>0</v>
      </c>
      <c r="AU94" s="28">
        <f>'FY21 Final Initial $$'!AU94/'FY21 FTE'!AU$120</f>
        <v>0</v>
      </c>
      <c r="AV94" s="28">
        <f>'FY21 Final Initial $$'!AV94/'FY21 FTE'!AV$120</f>
        <v>0</v>
      </c>
      <c r="AW94" s="28">
        <f>'FY21 Final Initial $$'!AW94/'FY21 FTE'!AW$120</f>
        <v>0</v>
      </c>
      <c r="AX94" s="28">
        <f>'FY21 Final Initial $$'!AX94/'FY21 FTE'!AX$120</f>
        <v>0</v>
      </c>
      <c r="AY94" s="28">
        <f>'FY21 Final Initial $$'!AY94/'FY21 FTE'!AY$120</f>
        <v>1</v>
      </c>
      <c r="AZ94" s="28">
        <f>'FY21 Final Initial $$'!AZ94/'FY21 FTE'!AZ$120</f>
        <v>1</v>
      </c>
      <c r="BA94" s="28">
        <f>'FY21 Final Initial $$'!BA94/'FY21 FTE'!BA$120</f>
        <v>7</v>
      </c>
      <c r="BB94" s="28">
        <f>'FY21 Final Initial $$'!BB94/'FY21 FTE'!BB$120</f>
        <v>8</v>
      </c>
      <c r="BC94" s="28">
        <f>'FY21 Final Initial $$'!BC94/'FY21 FTE'!BC$120</f>
        <v>0</v>
      </c>
      <c r="BD94" s="28">
        <f>'FY21 Final Initial $$'!BD94/'FY21 FTE'!BD$120</f>
        <v>1</v>
      </c>
      <c r="BE94" s="28">
        <f>'FY21 Final Initial $$'!BE94/'FY21 FTE'!BE$120</f>
        <v>7</v>
      </c>
      <c r="BF94" s="28">
        <f>'FY21 Final Initial $$'!BF94/'FY21 FTE'!BF$120</f>
        <v>0</v>
      </c>
      <c r="BG94" s="28">
        <f>'FY21 Final Initial $$'!BG94/'FY21 FTE'!BG$120</f>
        <v>1</v>
      </c>
      <c r="BH94" s="28">
        <f>'FY21 Final Initial $$'!BH94/'FY21 FTE'!BH$120</f>
        <v>4</v>
      </c>
      <c r="BI94" s="28">
        <f>'FY21 Final Initial $$'!BI94/'FY21 FTE'!BI$120</f>
        <v>4</v>
      </c>
      <c r="BJ94" s="28">
        <f>'FY21 Final Initial $$'!BJ94/'FY21 FTE'!BJ$120</f>
        <v>0</v>
      </c>
      <c r="BK94" s="20">
        <v>0</v>
      </c>
      <c r="BL94" s="20"/>
      <c r="BM94" s="20"/>
      <c r="BN94" s="20">
        <v>167912.89</v>
      </c>
      <c r="BO94" s="20">
        <v>2777.93</v>
      </c>
      <c r="BP94" s="20">
        <v>0</v>
      </c>
      <c r="BQ94" s="28">
        <f>'FY21 Final Initial $$'!BQ94/'FY21 FTE'!BQ$120</f>
        <v>0</v>
      </c>
      <c r="BR94" s="28">
        <f>'FY21 Final Initial $$'!BR94/'FY21 FTE'!BR$120</f>
        <v>0</v>
      </c>
      <c r="BS94" s="28">
        <f>'FY21 Final Initial $$'!BS94/'FY21 FTE'!BS$120</f>
        <v>0</v>
      </c>
      <c r="BT94" s="28">
        <f>'FY21 Final Initial $$'!BT94/'FY21 FTE'!BT$120</f>
        <v>0</v>
      </c>
      <c r="BU94" s="28">
        <f>'FY21 Final Initial $$'!BU94/'FY21 FTE'!BU$120</f>
        <v>0</v>
      </c>
      <c r="BV94" s="28">
        <f>'FY21 Final Initial $$'!BV94/'FY21 FTE'!BV$120</f>
        <v>0</v>
      </c>
      <c r="BW94" s="28">
        <f>'FY21 Final Initial $$'!BW94/'FY21 FTE'!BW$120</f>
        <v>0</v>
      </c>
      <c r="BX94" s="20">
        <v>0</v>
      </c>
      <c r="BY94" s="20">
        <v>0</v>
      </c>
      <c r="BZ94" s="20">
        <v>0</v>
      </c>
      <c r="CA94" s="20">
        <v>0</v>
      </c>
      <c r="CB94" s="28">
        <f>'FY21 Final Initial $$'!CB94/'FY21 FTE'!CB$120</f>
        <v>0</v>
      </c>
      <c r="CC94" s="28">
        <f>'FY21 Final Initial $$'!CC94/'FY21 FTE'!CC$120</f>
        <v>0</v>
      </c>
      <c r="CD94" s="20">
        <v>0</v>
      </c>
      <c r="CE94" s="28">
        <f>'FY21 Final Initial $$'!CE94/'FY21 FTE'!CE$120</f>
        <v>0</v>
      </c>
      <c r="CF94" s="28">
        <f>'FY21 Final Initial $$'!CF94/'FY21 FTE'!CF$120</f>
        <v>0</v>
      </c>
      <c r="CG94" s="28">
        <f>'FY21 Final Initial $$'!CG94/'FY21 FTE'!CG$120</f>
        <v>0</v>
      </c>
      <c r="CH94" s="28">
        <f>'FY21 Final Initial $$'!CH94/'FY21 FTE'!CH$120</f>
        <v>0</v>
      </c>
      <c r="CI94" s="28">
        <f>'FY21 Final Initial $$'!CI94/'FY21 FTE'!CI$120</f>
        <v>0</v>
      </c>
      <c r="CJ94" s="28">
        <f>'FY21 Final Initial $$'!CJ94/'FY21 FTE'!CJ$120</f>
        <v>0</v>
      </c>
      <c r="CK94" s="28">
        <f>'FY21 Final Initial $$'!CK94/'FY21 FTE'!CK$120</f>
        <v>0</v>
      </c>
      <c r="CL94" s="28">
        <f>'FY21 Final Initial $$'!CL94/'FY21 FTE'!CL$120</f>
        <v>0</v>
      </c>
      <c r="CM94" s="20">
        <v>0</v>
      </c>
      <c r="CN94" s="20">
        <v>0</v>
      </c>
      <c r="CO94" s="20">
        <v>55921.759999999995</v>
      </c>
      <c r="CP94" s="20">
        <v>0</v>
      </c>
      <c r="CQ94" s="28">
        <f>'FY21 Final Initial $$'!CQ94/'FY21 FTE'!CQ$120</f>
        <v>0</v>
      </c>
      <c r="CR94" s="20">
        <v>0</v>
      </c>
      <c r="CS94" s="20">
        <v>3760</v>
      </c>
      <c r="CT94" s="20">
        <v>0</v>
      </c>
      <c r="CU94" s="20">
        <v>21970.798206278028</v>
      </c>
      <c r="CV94" s="28">
        <f>'FY21 Final Initial $$'!CV94/'FY21 FTE'!CV$120</f>
        <v>0</v>
      </c>
      <c r="CW94" s="28">
        <f>'FY21 Final Initial $$'!CW94/'FY21 FTE'!CW$120</f>
        <v>0</v>
      </c>
      <c r="CX94" s="20">
        <v>0</v>
      </c>
      <c r="CY94" s="28">
        <f>'FY21 Final Initial $$'!CY94/'FY21 FTE'!CY$120</f>
        <v>0</v>
      </c>
      <c r="CZ94" s="20">
        <v>0</v>
      </c>
      <c r="DA94" s="20">
        <v>0</v>
      </c>
      <c r="DB94" s="20">
        <v>40000</v>
      </c>
      <c r="DC94" s="20">
        <v>104706.84318222472</v>
      </c>
      <c r="DD94" s="20">
        <v>0</v>
      </c>
      <c r="DE94" s="20">
        <v>0</v>
      </c>
      <c r="DF94" s="20">
        <v>0</v>
      </c>
      <c r="DG94" s="20">
        <v>0</v>
      </c>
      <c r="DH94" s="28">
        <f>'FY21 Final Initial $$'!DH94/'FY21 FTE'!DH$120</f>
        <v>0</v>
      </c>
      <c r="DI94" s="20"/>
      <c r="DJ94" s="20">
        <v>10350.000167638063</v>
      </c>
      <c r="DK94" s="22">
        <v>0</v>
      </c>
      <c r="DL94" s="20">
        <v>0</v>
      </c>
      <c r="DM94" s="20">
        <v>0</v>
      </c>
      <c r="DN94" s="20">
        <v>6996850.8539924594</v>
      </c>
      <c r="DO94" s="29">
        <f t="shared" si="6"/>
        <v>9</v>
      </c>
      <c r="DP94" s="29">
        <f t="shared" si="6"/>
        <v>9</v>
      </c>
      <c r="DQ94" s="29">
        <f t="shared" si="7"/>
        <v>12.000000000000004</v>
      </c>
      <c r="DR94" s="29">
        <f t="shared" si="8"/>
        <v>17</v>
      </c>
      <c r="DS94" s="29">
        <f t="shared" si="9"/>
        <v>8</v>
      </c>
    </row>
    <row r="95" spans="1:123" x14ac:dyDescent="0.25">
      <c r="A95" s="18">
        <v>313</v>
      </c>
      <c r="B95" t="s">
        <v>236</v>
      </c>
      <c r="C95" t="s">
        <v>135</v>
      </c>
      <c r="D95">
        <v>4</v>
      </c>
      <c r="E95">
        <v>380</v>
      </c>
      <c r="F95" s="19">
        <f t="shared" si="5"/>
        <v>0.13157894736842105</v>
      </c>
      <c r="G95">
        <v>50</v>
      </c>
      <c r="H95" s="28">
        <f>'FY21 Final Initial $$'!H95/'FY21 FTE'!H$120</f>
        <v>1</v>
      </c>
      <c r="I95" s="28">
        <f>'FY21 Final Initial $$'!I95/'FY21 FTE'!I$120</f>
        <v>1</v>
      </c>
      <c r="J95" s="28">
        <f>'FY21 Final Initial $$'!J95/'FY21 FTE'!J$120</f>
        <v>1</v>
      </c>
      <c r="K95" s="28">
        <f>'FY21 Final Initial $$'!K95/'FY21 FTE'!K$120</f>
        <v>0</v>
      </c>
      <c r="L95" s="28">
        <f>'FY21 Final Initial $$'!L95/'FY21 FTE'!L$120</f>
        <v>0</v>
      </c>
      <c r="M95" s="28">
        <f>'FY21 Final Initial $$'!M95/'FY21 FTE'!M$120</f>
        <v>1</v>
      </c>
      <c r="N95" s="28">
        <f>'FY21 Final Initial $$'!N95/'FY21 FTE'!N$120</f>
        <v>1</v>
      </c>
      <c r="O95" s="28">
        <f>'FY21 Final Initial $$'!O95/'FY21 FTE'!O$120</f>
        <v>0</v>
      </c>
      <c r="P95" s="28">
        <f>'FY21 Final Initial $$'!P95/'FY21 FTE'!P$120</f>
        <v>0</v>
      </c>
      <c r="Q95" s="28">
        <f>'FY21 Final Initial $$'!Q95/'FY21 FTE'!Q$120</f>
        <v>0</v>
      </c>
      <c r="R95" s="28">
        <f>'FY21 Final Initial $$'!R95/'FY21 FTE'!R$120</f>
        <v>0</v>
      </c>
      <c r="S95" s="28">
        <f>'FY21 Final Initial $$'!S95/'FY21 FTE'!S$120</f>
        <v>1</v>
      </c>
      <c r="T95" s="28">
        <f>'FY21 Final Initial $$'!T95/'FY21 FTE'!T$120</f>
        <v>1</v>
      </c>
      <c r="U95" s="28">
        <f>'FY21 Final Initial $$'!U95/'FY21 FTE'!U$120</f>
        <v>2</v>
      </c>
      <c r="V95" s="28">
        <f>'FY21 Final Initial $$'!V95/'FY21 FTE'!V$120</f>
        <v>1</v>
      </c>
      <c r="W95" s="28">
        <f>'FY21 Final Initial $$'!W95/'FY21 FTE'!W$120</f>
        <v>1</v>
      </c>
      <c r="X95" s="28">
        <f>'FY21 Final Initial $$'!X95/'FY21 FTE'!X$120</f>
        <v>1</v>
      </c>
      <c r="Y95" s="28">
        <f>'FY21 Final Initial $$'!Y95/'FY21 FTE'!Y$120</f>
        <v>1</v>
      </c>
      <c r="Z95" s="28">
        <f>'FY21 Final Initial $$'!Z95/'FY21 FTE'!Z$120</f>
        <v>-1.3122687780540747E-15</v>
      </c>
      <c r="AA95" s="28">
        <f>'FY21 Final Initial $$'!AA95/'FY21 FTE'!AA$120</f>
        <v>1</v>
      </c>
      <c r="AB95" s="28">
        <f>'FY21 Final Initial $$'!AB95/'FY21 FTE'!AB$120</f>
        <v>2</v>
      </c>
      <c r="AC95" s="28">
        <f>'FY21 Final Initial $$'!AC95/'FY21 FTE'!AC$120</f>
        <v>2</v>
      </c>
      <c r="AD95" s="28">
        <f>'FY21 Final Initial $$'!AD95/'FY21 FTE'!AD$120</f>
        <v>0</v>
      </c>
      <c r="AE95" s="28">
        <f>'FY21 Final Initial $$'!AE95/'FY21 FTE'!AE$120</f>
        <v>0</v>
      </c>
      <c r="AF95" s="28">
        <f>'FY21 Final Initial $$'!AF95/'FY21 FTE'!AF$120</f>
        <v>2</v>
      </c>
      <c r="AG95" s="28">
        <f>'FY21 Final Initial $$'!AG95/'FY21 FTE'!AG$120</f>
        <v>2</v>
      </c>
      <c r="AH95" s="28">
        <f>'FY21 Final Initial $$'!AH95/'FY21 FTE'!AH$120</f>
        <v>2</v>
      </c>
      <c r="AI95" s="28">
        <f>'FY21 Final Initial $$'!AI95/'FY21 FTE'!AI$120</f>
        <v>2</v>
      </c>
      <c r="AJ95" s="28">
        <f>'FY21 Final Initial $$'!AJ95/'FY21 FTE'!AJ$120</f>
        <v>2</v>
      </c>
      <c r="AK95" s="28">
        <f>'FY21 Final Initial $$'!AK95/'FY21 FTE'!AK$120</f>
        <v>2</v>
      </c>
      <c r="AL95" s="28">
        <f>'FY21 Final Initial $$'!AL95/'FY21 FTE'!AL$120</f>
        <v>2</v>
      </c>
      <c r="AM95" s="28">
        <f>'FY21 Final Initial $$'!AM95/'FY21 FTE'!AM$120</f>
        <v>3</v>
      </c>
      <c r="AN95" s="28">
        <f>'FY21 Final Initial $$'!AN95/'FY21 FTE'!AN$120</f>
        <v>3.000000000000004</v>
      </c>
      <c r="AO95" s="28">
        <f>'FY21 Final Initial $$'!AO95/'FY21 FTE'!AO$120</f>
        <v>0</v>
      </c>
      <c r="AP95" s="28">
        <f>'FY21 Final Initial $$'!AP95/'FY21 FTE'!AP$120</f>
        <v>0</v>
      </c>
      <c r="AQ95" s="28">
        <f>'FY21 Final Initial $$'!AQ95/'FY21 FTE'!AQ$120</f>
        <v>0</v>
      </c>
      <c r="AR95" s="28">
        <f>'FY21 Final Initial $$'!AR95/'FY21 FTE'!AR$120</f>
        <v>0</v>
      </c>
      <c r="AS95" s="28">
        <f>'FY21 Final Initial $$'!AS95/'FY21 FTE'!AS$120</f>
        <v>0</v>
      </c>
      <c r="AT95" s="28">
        <f>'FY21 Final Initial $$'!AT95/'FY21 FTE'!AT$120</f>
        <v>0</v>
      </c>
      <c r="AU95" s="28">
        <f>'FY21 Final Initial $$'!AU95/'FY21 FTE'!AU$120</f>
        <v>0</v>
      </c>
      <c r="AV95" s="28">
        <f>'FY21 Final Initial $$'!AV95/'FY21 FTE'!AV$120</f>
        <v>0</v>
      </c>
      <c r="AW95" s="28">
        <f>'FY21 Final Initial $$'!AW95/'FY21 FTE'!AW$120</f>
        <v>0</v>
      </c>
      <c r="AX95" s="28">
        <f>'FY21 Final Initial $$'!AX95/'FY21 FTE'!AX$120</f>
        <v>0</v>
      </c>
      <c r="AY95" s="28">
        <f>'FY21 Final Initial $$'!AY95/'FY21 FTE'!AY$120</f>
        <v>0.5</v>
      </c>
      <c r="AZ95" s="28">
        <f>'FY21 Final Initial $$'!AZ95/'FY21 FTE'!AZ$120</f>
        <v>1</v>
      </c>
      <c r="BA95" s="28">
        <f>'FY21 Final Initial $$'!BA95/'FY21 FTE'!BA$120</f>
        <v>2</v>
      </c>
      <c r="BB95" s="28">
        <f>'FY21 Final Initial $$'!BB95/'FY21 FTE'!BB$120</f>
        <v>0</v>
      </c>
      <c r="BC95" s="28">
        <f>'FY21 Final Initial $$'!BC95/'FY21 FTE'!BC$120</f>
        <v>0</v>
      </c>
      <c r="BD95" s="28">
        <f>'FY21 Final Initial $$'!BD95/'FY21 FTE'!BD$120</f>
        <v>0</v>
      </c>
      <c r="BE95" s="28">
        <f>'FY21 Final Initial $$'!BE95/'FY21 FTE'!BE$120</f>
        <v>2</v>
      </c>
      <c r="BF95" s="28">
        <f>'FY21 Final Initial $$'!BF95/'FY21 FTE'!BF$120</f>
        <v>0</v>
      </c>
      <c r="BG95" s="28">
        <f>'FY21 Final Initial $$'!BG95/'FY21 FTE'!BG$120</f>
        <v>0</v>
      </c>
      <c r="BH95" s="28">
        <f>'FY21 Final Initial $$'!BH95/'FY21 FTE'!BH$120</f>
        <v>0</v>
      </c>
      <c r="BI95" s="28">
        <f>'FY21 Final Initial $$'!BI95/'FY21 FTE'!BI$120</f>
        <v>0</v>
      </c>
      <c r="BJ95" s="28">
        <f>'FY21 Final Initial $$'!BJ95/'FY21 FTE'!BJ$120</f>
        <v>0</v>
      </c>
      <c r="BK95" s="20">
        <v>0</v>
      </c>
      <c r="BL95" s="20"/>
      <c r="BM95" s="20"/>
      <c r="BN95" s="20">
        <v>0</v>
      </c>
      <c r="BO95" s="20">
        <v>0</v>
      </c>
      <c r="BP95" s="20">
        <v>9275</v>
      </c>
      <c r="BQ95" s="28">
        <f>'FY21 Final Initial $$'!BQ95/'FY21 FTE'!BQ$120</f>
        <v>1</v>
      </c>
      <c r="BR95" s="28">
        <f>'FY21 Final Initial $$'!BR95/'FY21 FTE'!BR$120</f>
        <v>0</v>
      </c>
      <c r="BS95" s="28">
        <f>'FY21 Final Initial $$'!BS95/'FY21 FTE'!BS$120</f>
        <v>0</v>
      </c>
      <c r="BT95" s="28">
        <f>'FY21 Final Initial $$'!BT95/'FY21 FTE'!BT$120</f>
        <v>0</v>
      </c>
      <c r="BU95" s="28">
        <f>'FY21 Final Initial $$'!BU95/'FY21 FTE'!BU$120</f>
        <v>0</v>
      </c>
      <c r="BV95" s="28">
        <f>'FY21 Final Initial $$'!BV95/'FY21 FTE'!BV$120</f>
        <v>0</v>
      </c>
      <c r="BW95" s="28">
        <f>'FY21 Final Initial $$'!BW95/'FY21 FTE'!BW$120</f>
        <v>0</v>
      </c>
      <c r="BX95" s="20">
        <v>0</v>
      </c>
      <c r="BY95" s="20">
        <v>0</v>
      </c>
      <c r="BZ95" s="20">
        <v>0</v>
      </c>
      <c r="CA95" s="20">
        <v>0</v>
      </c>
      <c r="CB95" s="28">
        <f>'FY21 Final Initial $$'!CB95/'FY21 FTE'!CB$120</f>
        <v>0</v>
      </c>
      <c r="CC95" s="28">
        <f>'FY21 Final Initial $$'!CC95/'FY21 FTE'!CC$120</f>
        <v>0</v>
      </c>
      <c r="CD95" s="20">
        <v>0</v>
      </c>
      <c r="CE95" s="28">
        <f>'FY21 Final Initial $$'!CE95/'FY21 FTE'!CE$120</f>
        <v>0</v>
      </c>
      <c r="CF95" s="28">
        <f>'FY21 Final Initial $$'!CF95/'FY21 FTE'!CF$120</f>
        <v>0</v>
      </c>
      <c r="CG95" s="28">
        <f>'FY21 Final Initial $$'!CG95/'FY21 FTE'!CG$120</f>
        <v>0</v>
      </c>
      <c r="CH95" s="28">
        <f>'FY21 Final Initial $$'!CH95/'FY21 FTE'!CH$120</f>
        <v>0</v>
      </c>
      <c r="CI95" s="28">
        <f>'FY21 Final Initial $$'!CI95/'FY21 FTE'!CI$120</f>
        <v>0</v>
      </c>
      <c r="CJ95" s="28">
        <f>'FY21 Final Initial $$'!CJ95/'FY21 FTE'!CJ$120</f>
        <v>0</v>
      </c>
      <c r="CK95" s="28">
        <f>'FY21 Final Initial $$'!CK95/'FY21 FTE'!CK$120</f>
        <v>0</v>
      </c>
      <c r="CL95" s="28">
        <f>'FY21 Final Initial $$'!CL95/'FY21 FTE'!CL$120</f>
        <v>0</v>
      </c>
      <c r="CM95" s="20">
        <v>0</v>
      </c>
      <c r="CN95" s="20">
        <v>0</v>
      </c>
      <c r="CO95" s="20">
        <v>55921.759999999995</v>
      </c>
      <c r="CP95" s="20">
        <v>0</v>
      </c>
      <c r="CQ95" s="28">
        <f>'FY21 Final Initial $$'!CQ95/'FY21 FTE'!CQ$120</f>
        <v>0</v>
      </c>
      <c r="CR95" s="20">
        <v>0</v>
      </c>
      <c r="CS95" s="20">
        <v>0</v>
      </c>
      <c r="CT95" s="20">
        <v>0</v>
      </c>
      <c r="CU95" s="20">
        <v>22011.75</v>
      </c>
      <c r="CV95" s="28">
        <f>'FY21 Final Initial $$'!CV95/'FY21 FTE'!CV$120</f>
        <v>0</v>
      </c>
      <c r="CW95" s="28">
        <f>'FY21 Final Initial $$'!CW95/'FY21 FTE'!CW$120</f>
        <v>0</v>
      </c>
      <c r="CX95" s="20">
        <v>0</v>
      </c>
      <c r="CY95" s="28">
        <f>'FY21 Final Initial $$'!CY95/'FY21 FTE'!CY$120</f>
        <v>0</v>
      </c>
      <c r="CZ95" s="20">
        <v>0</v>
      </c>
      <c r="DA95" s="20">
        <v>0</v>
      </c>
      <c r="DB95" s="20">
        <v>38000</v>
      </c>
      <c r="DC95" s="20">
        <v>69502.353603639174</v>
      </c>
      <c r="DD95" s="20">
        <v>0</v>
      </c>
      <c r="DE95" s="20">
        <v>0</v>
      </c>
      <c r="DF95" s="20">
        <v>0</v>
      </c>
      <c r="DG95" s="20">
        <v>24154</v>
      </c>
      <c r="DH95" s="28">
        <f>'FY21 Final Initial $$'!DH95/'FY21 FTE'!DH$120</f>
        <v>0</v>
      </c>
      <c r="DI95" s="20"/>
      <c r="DJ95" s="20">
        <v>4899.9998657032847</v>
      </c>
      <c r="DK95" s="22">
        <v>0</v>
      </c>
      <c r="DL95" s="20">
        <v>0</v>
      </c>
      <c r="DM95" s="20">
        <v>0</v>
      </c>
      <c r="DN95" s="20">
        <v>4540681.2363661863</v>
      </c>
      <c r="DO95" s="29">
        <f t="shared" si="6"/>
        <v>6</v>
      </c>
      <c r="DP95" s="29">
        <f t="shared" si="6"/>
        <v>6</v>
      </c>
      <c r="DQ95" s="29">
        <f t="shared" si="7"/>
        <v>12.000000000000004</v>
      </c>
      <c r="DR95" s="29">
        <f t="shared" si="8"/>
        <v>5.5</v>
      </c>
      <c r="DS95" s="29">
        <f t="shared" si="9"/>
        <v>0</v>
      </c>
    </row>
    <row r="96" spans="1:123" x14ac:dyDescent="0.25">
      <c r="A96" s="18">
        <v>315</v>
      </c>
      <c r="B96" t="s">
        <v>237</v>
      </c>
      <c r="C96" t="s">
        <v>135</v>
      </c>
      <c r="D96">
        <v>8</v>
      </c>
      <c r="E96">
        <v>253</v>
      </c>
      <c r="F96" s="19">
        <f t="shared" si="5"/>
        <v>0.69565217391304346</v>
      </c>
      <c r="G96">
        <v>176</v>
      </c>
      <c r="H96" s="28">
        <f>'FY21 Final Initial $$'!H96/'FY21 FTE'!H$120</f>
        <v>1</v>
      </c>
      <c r="I96" s="28">
        <f>'FY21 Final Initial $$'!I96/'FY21 FTE'!I$120</f>
        <v>1</v>
      </c>
      <c r="J96" s="28">
        <f>'FY21 Final Initial $$'!J96/'FY21 FTE'!J$120</f>
        <v>0</v>
      </c>
      <c r="K96" s="28">
        <f>'FY21 Final Initial $$'!K96/'FY21 FTE'!K$120</f>
        <v>0</v>
      </c>
      <c r="L96" s="28">
        <f>'FY21 Final Initial $$'!L96/'FY21 FTE'!L$120</f>
        <v>0</v>
      </c>
      <c r="M96" s="28">
        <f>'FY21 Final Initial $$'!M96/'FY21 FTE'!M$120</f>
        <v>0.5</v>
      </c>
      <c r="N96" s="28">
        <f>'FY21 Final Initial $$'!N96/'FY21 FTE'!N$120</f>
        <v>1</v>
      </c>
      <c r="O96" s="28">
        <f>'FY21 Final Initial $$'!O96/'FY21 FTE'!O$120</f>
        <v>0</v>
      </c>
      <c r="P96" s="28">
        <f>'FY21 Final Initial $$'!P96/'FY21 FTE'!P$120</f>
        <v>0</v>
      </c>
      <c r="Q96" s="28">
        <f>'FY21 Final Initial $$'!Q96/'FY21 FTE'!Q$120</f>
        <v>0</v>
      </c>
      <c r="R96" s="28">
        <f>'FY21 Final Initial $$'!R96/'FY21 FTE'!R$120</f>
        <v>0</v>
      </c>
      <c r="S96" s="28">
        <f>'FY21 Final Initial $$'!S96/'FY21 FTE'!S$120</f>
        <v>1</v>
      </c>
      <c r="T96" s="28">
        <f>'FY21 Final Initial $$'!T96/'FY21 FTE'!T$120</f>
        <v>1</v>
      </c>
      <c r="U96" s="28">
        <f>'FY21 Final Initial $$'!U96/'FY21 FTE'!U$120</f>
        <v>1</v>
      </c>
      <c r="V96" s="28">
        <f>'FY21 Final Initial $$'!V96/'FY21 FTE'!V$120</f>
        <v>0.5</v>
      </c>
      <c r="W96" s="28">
        <f>'FY21 Final Initial $$'!W96/'FY21 FTE'!W$120</f>
        <v>1</v>
      </c>
      <c r="X96" s="28">
        <f>'FY21 Final Initial $$'!X96/'FY21 FTE'!X$120</f>
        <v>1</v>
      </c>
      <c r="Y96" s="28">
        <f>'FY21 Final Initial $$'!Y96/'FY21 FTE'!Y$120</f>
        <v>1</v>
      </c>
      <c r="Z96" s="28">
        <f>'FY21 Final Initial $$'!Z96/'FY21 FTE'!Z$120</f>
        <v>0</v>
      </c>
      <c r="AA96" s="28">
        <f>'FY21 Final Initial $$'!AA96/'FY21 FTE'!AA$120</f>
        <v>0</v>
      </c>
      <c r="AB96" s="28">
        <f>'FY21 Final Initial $$'!AB96/'FY21 FTE'!AB$120</f>
        <v>1</v>
      </c>
      <c r="AC96" s="28">
        <f>'FY21 Final Initial $$'!AC96/'FY21 FTE'!AC$120</f>
        <v>1</v>
      </c>
      <c r="AD96" s="28">
        <f>'FY21 Final Initial $$'!AD96/'FY21 FTE'!AD$120</f>
        <v>1</v>
      </c>
      <c r="AE96" s="28">
        <f>'FY21 Final Initial $$'!AE96/'FY21 FTE'!AE$120</f>
        <v>1</v>
      </c>
      <c r="AF96" s="28">
        <f>'FY21 Final Initial $$'!AF96/'FY21 FTE'!AF$120</f>
        <v>1</v>
      </c>
      <c r="AG96" s="28">
        <f>'FY21 Final Initial $$'!AG96/'FY21 FTE'!AG$120</f>
        <v>1</v>
      </c>
      <c r="AH96" s="28">
        <f>'FY21 Final Initial $$'!AH96/'FY21 FTE'!AH$120</f>
        <v>2</v>
      </c>
      <c r="AI96" s="28">
        <f>'FY21 Final Initial $$'!AI96/'FY21 FTE'!AI$120</f>
        <v>2</v>
      </c>
      <c r="AJ96" s="28">
        <f>'FY21 Final Initial $$'!AJ96/'FY21 FTE'!AJ$120</f>
        <v>2</v>
      </c>
      <c r="AK96" s="28">
        <f>'FY21 Final Initial $$'!AK96/'FY21 FTE'!AK$120</f>
        <v>2</v>
      </c>
      <c r="AL96" s="28">
        <f>'FY21 Final Initial $$'!AL96/'FY21 FTE'!AL$120</f>
        <v>2</v>
      </c>
      <c r="AM96" s="28">
        <f>'FY21 Final Initial $$'!AM96/'FY21 FTE'!AM$120</f>
        <v>2</v>
      </c>
      <c r="AN96" s="28">
        <f>'FY21 Final Initial $$'!AN96/'FY21 FTE'!AN$120</f>
        <v>2.0000000000000027</v>
      </c>
      <c r="AO96" s="28">
        <f>'FY21 Final Initial $$'!AO96/'FY21 FTE'!AO$120</f>
        <v>0</v>
      </c>
      <c r="AP96" s="28">
        <f>'FY21 Final Initial $$'!AP96/'FY21 FTE'!AP$120</f>
        <v>0</v>
      </c>
      <c r="AQ96" s="28">
        <f>'FY21 Final Initial $$'!AQ96/'FY21 FTE'!AQ$120</f>
        <v>0</v>
      </c>
      <c r="AR96" s="28">
        <f>'FY21 Final Initial $$'!AR96/'FY21 FTE'!AR$120</f>
        <v>0</v>
      </c>
      <c r="AS96" s="28">
        <f>'FY21 Final Initial $$'!AS96/'FY21 FTE'!AS$120</f>
        <v>0</v>
      </c>
      <c r="AT96" s="28">
        <f>'FY21 Final Initial $$'!AT96/'FY21 FTE'!AT$120</f>
        <v>0</v>
      </c>
      <c r="AU96" s="28">
        <f>'FY21 Final Initial $$'!AU96/'FY21 FTE'!AU$120</f>
        <v>0</v>
      </c>
      <c r="AV96" s="28">
        <f>'FY21 Final Initial $$'!AV96/'FY21 FTE'!AV$120</f>
        <v>0</v>
      </c>
      <c r="AW96" s="28">
        <f>'FY21 Final Initial $$'!AW96/'FY21 FTE'!AW$120</f>
        <v>0</v>
      </c>
      <c r="AX96" s="28">
        <f>'FY21 Final Initial $$'!AX96/'FY21 FTE'!AX$120</f>
        <v>0</v>
      </c>
      <c r="AY96" s="28">
        <f>'FY21 Final Initial $$'!AY96/'FY21 FTE'!AY$120</f>
        <v>1</v>
      </c>
      <c r="AZ96" s="28">
        <f>'FY21 Final Initial $$'!AZ96/'FY21 FTE'!AZ$120</f>
        <v>1</v>
      </c>
      <c r="BA96" s="28">
        <f>'FY21 Final Initial $$'!BA96/'FY21 FTE'!BA$120</f>
        <v>5</v>
      </c>
      <c r="BB96" s="28">
        <f>'FY21 Final Initial $$'!BB96/'FY21 FTE'!BB$120</f>
        <v>4</v>
      </c>
      <c r="BC96" s="28">
        <f>'FY21 Final Initial $$'!BC96/'FY21 FTE'!BC$120</f>
        <v>0</v>
      </c>
      <c r="BD96" s="28">
        <f>'FY21 Final Initial $$'!BD96/'FY21 FTE'!BD$120</f>
        <v>0</v>
      </c>
      <c r="BE96" s="28">
        <f>'FY21 Final Initial $$'!BE96/'FY21 FTE'!BE$120</f>
        <v>1</v>
      </c>
      <c r="BF96" s="28">
        <f>'FY21 Final Initial $$'!BF96/'FY21 FTE'!BF$120</f>
        <v>0</v>
      </c>
      <c r="BG96" s="28">
        <f>'FY21 Final Initial $$'!BG96/'FY21 FTE'!BG$120</f>
        <v>0</v>
      </c>
      <c r="BH96" s="28">
        <f>'FY21 Final Initial $$'!BH96/'FY21 FTE'!BH$120</f>
        <v>0</v>
      </c>
      <c r="BI96" s="28">
        <f>'FY21 Final Initial $$'!BI96/'FY21 FTE'!BI$120</f>
        <v>0</v>
      </c>
      <c r="BJ96" s="28">
        <f>'FY21 Final Initial $$'!BJ96/'FY21 FTE'!BJ$120</f>
        <v>0</v>
      </c>
      <c r="BK96" s="20">
        <v>0</v>
      </c>
      <c r="BL96" s="20"/>
      <c r="BM96" s="20"/>
      <c r="BN96" s="20">
        <v>107822.24</v>
      </c>
      <c r="BO96" s="20">
        <v>1783.8</v>
      </c>
      <c r="BP96" s="20">
        <v>0</v>
      </c>
      <c r="BQ96" s="28">
        <f>'FY21 Final Initial $$'!BQ96/'FY21 FTE'!BQ$120</f>
        <v>0</v>
      </c>
      <c r="BR96" s="28">
        <f>'FY21 Final Initial $$'!BR96/'FY21 FTE'!BR$120</f>
        <v>0</v>
      </c>
      <c r="BS96" s="28">
        <f>'FY21 Final Initial $$'!BS96/'FY21 FTE'!BS$120</f>
        <v>0</v>
      </c>
      <c r="BT96" s="28">
        <f>'FY21 Final Initial $$'!BT96/'FY21 FTE'!BT$120</f>
        <v>0</v>
      </c>
      <c r="BU96" s="28">
        <f>'FY21 Final Initial $$'!BU96/'FY21 FTE'!BU$120</f>
        <v>0</v>
      </c>
      <c r="BV96" s="28">
        <f>'FY21 Final Initial $$'!BV96/'FY21 FTE'!BV$120</f>
        <v>0</v>
      </c>
      <c r="BW96" s="28">
        <f>'FY21 Final Initial $$'!BW96/'FY21 FTE'!BW$120</f>
        <v>0</v>
      </c>
      <c r="BX96" s="20">
        <v>0</v>
      </c>
      <c r="BY96" s="20">
        <v>0</v>
      </c>
      <c r="BZ96" s="20">
        <v>0</v>
      </c>
      <c r="CA96" s="20">
        <v>0</v>
      </c>
      <c r="CB96" s="28">
        <f>'FY21 Final Initial $$'!CB96/'FY21 FTE'!CB$120</f>
        <v>0</v>
      </c>
      <c r="CC96" s="28">
        <f>'FY21 Final Initial $$'!CC96/'FY21 FTE'!CC$120</f>
        <v>0</v>
      </c>
      <c r="CD96" s="20">
        <v>0</v>
      </c>
      <c r="CE96" s="28">
        <f>'FY21 Final Initial $$'!CE96/'FY21 FTE'!CE$120</f>
        <v>0</v>
      </c>
      <c r="CF96" s="28">
        <f>'FY21 Final Initial $$'!CF96/'FY21 FTE'!CF$120</f>
        <v>0</v>
      </c>
      <c r="CG96" s="28">
        <f>'FY21 Final Initial $$'!CG96/'FY21 FTE'!CG$120</f>
        <v>0</v>
      </c>
      <c r="CH96" s="28">
        <f>'FY21 Final Initial $$'!CH96/'FY21 FTE'!CH$120</f>
        <v>0</v>
      </c>
      <c r="CI96" s="28">
        <f>'FY21 Final Initial $$'!CI96/'FY21 FTE'!CI$120</f>
        <v>0</v>
      </c>
      <c r="CJ96" s="28">
        <f>'FY21 Final Initial $$'!CJ96/'FY21 FTE'!CJ$120</f>
        <v>0</v>
      </c>
      <c r="CK96" s="28">
        <f>'FY21 Final Initial $$'!CK96/'FY21 FTE'!CK$120</f>
        <v>0</v>
      </c>
      <c r="CL96" s="28">
        <f>'FY21 Final Initial $$'!CL96/'FY21 FTE'!CL$120</f>
        <v>0</v>
      </c>
      <c r="CM96" s="20">
        <v>0</v>
      </c>
      <c r="CN96" s="20">
        <v>0</v>
      </c>
      <c r="CO96" s="20">
        <v>55921.759999999995</v>
      </c>
      <c r="CP96" s="20">
        <v>0</v>
      </c>
      <c r="CQ96" s="28">
        <f>'FY21 Final Initial $$'!CQ96/'FY21 FTE'!CQ$120</f>
        <v>0</v>
      </c>
      <c r="CR96" s="20">
        <v>75000</v>
      </c>
      <c r="CS96" s="20">
        <v>3520</v>
      </c>
      <c r="CT96" s="20">
        <v>41760</v>
      </c>
      <c r="CU96" s="20">
        <v>15532.207692307693</v>
      </c>
      <c r="CV96" s="28">
        <f>'FY21 Final Initial $$'!CV96/'FY21 FTE'!CV$120</f>
        <v>0</v>
      </c>
      <c r="CW96" s="28">
        <f>'FY21 Final Initial $$'!CW96/'FY21 FTE'!CW$120</f>
        <v>0</v>
      </c>
      <c r="CX96" s="20">
        <v>0</v>
      </c>
      <c r="CY96" s="28">
        <f>'FY21 Final Initial $$'!CY96/'FY21 FTE'!CY$120</f>
        <v>0</v>
      </c>
      <c r="CZ96" s="20">
        <v>0</v>
      </c>
      <c r="DA96" s="20">
        <v>0</v>
      </c>
      <c r="DB96" s="20">
        <v>25300</v>
      </c>
      <c r="DC96" s="20">
        <v>62398.105598358285</v>
      </c>
      <c r="DD96" s="20">
        <v>0</v>
      </c>
      <c r="DE96" s="20">
        <v>0</v>
      </c>
      <c r="DF96" s="20">
        <v>13859</v>
      </c>
      <c r="DG96" s="20">
        <v>0</v>
      </c>
      <c r="DH96" s="28">
        <f>'FY21 Final Initial $$'!DH96/'FY21 FTE'!DH$120</f>
        <v>0</v>
      </c>
      <c r="DI96" s="20"/>
      <c r="DJ96" s="20">
        <v>19500.000464916229</v>
      </c>
      <c r="DK96" s="22">
        <v>0</v>
      </c>
      <c r="DL96" s="20">
        <v>0</v>
      </c>
      <c r="DM96" s="20">
        <v>0</v>
      </c>
      <c r="DN96" s="20">
        <v>4256295.8465728667</v>
      </c>
      <c r="DO96" s="29">
        <f t="shared" si="6"/>
        <v>5</v>
      </c>
      <c r="DP96" s="29">
        <f t="shared" si="6"/>
        <v>5</v>
      </c>
      <c r="DQ96" s="29">
        <f t="shared" si="7"/>
        <v>10.000000000000004</v>
      </c>
      <c r="DR96" s="29">
        <f t="shared" si="8"/>
        <v>8</v>
      </c>
      <c r="DS96" s="29">
        <f t="shared" si="9"/>
        <v>4</v>
      </c>
    </row>
    <row r="97" spans="1:123" x14ac:dyDescent="0.25">
      <c r="A97" s="18">
        <v>322</v>
      </c>
      <c r="B97" t="s">
        <v>238</v>
      </c>
      <c r="C97" t="s">
        <v>135</v>
      </c>
      <c r="D97">
        <v>7</v>
      </c>
      <c r="E97">
        <v>258</v>
      </c>
      <c r="F97" s="19">
        <f t="shared" si="5"/>
        <v>0.73643410852713176</v>
      </c>
      <c r="G97">
        <v>190</v>
      </c>
      <c r="H97" s="28">
        <f>'FY21 Final Initial $$'!H97/'FY21 FTE'!H$120</f>
        <v>1</v>
      </c>
      <c r="I97" s="28">
        <f>'FY21 Final Initial $$'!I97/'FY21 FTE'!I$120</f>
        <v>1</v>
      </c>
      <c r="J97" s="28">
        <f>'FY21 Final Initial $$'!J97/'FY21 FTE'!J$120</f>
        <v>0</v>
      </c>
      <c r="K97" s="28">
        <f>'FY21 Final Initial $$'!K97/'FY21 FTE'!K$120</f>
        <v>0</v>
      </c>
      <c r="L97" s="28">
        <f>'FY21 Final Initial $$'!L97/'FY21 FTE'!L$120</f>
        <v>0</v>
      </c>
      <c r="M97" s="28">
        <f>'FY21 Final Initial $$'!M97/'FY21 FTE'!M$120</f>
        <v>0.5</v>
      </c>
      <c r="N97" s="28">
        <f>'FY21 Final Initial $$'!N97/'FY21 FTE'!N$120</f>
        <v>1</v>
      </c>
      <c r="O97" s="28">
        <f>'FY21 Final Initial $$'!O97/'FY21 FTE'!O$120</f>
        <v>0</v>
      </c>
      <c r="P97" s="28">
        <f>'FY21 Final Initial $$'!P97/'FY21 FTE'!P$120</f>
        <v>0</v>
      </c>
      <c r="Q97" s="28">
        <f>'FY21 Final Initial $$'!Q97/'FY21 FTE'!Q$120</f>
        <v>0</v>
      </c>
      <c r="R97" s="28">
        <f>'FY21 Final Initial $$'!R97/'FY21 FTE'!R$120</f>
        <v>0</v>
      </c>
      <c r="S97" s="28">
        <f>'FY21 Final Initial $$'!S97/'FY21 FTE'!S$120</f>
        <v>1</v>
      </c>
      <c r="T97" s="28">
        <f>'FY21 Final Initial $$'!T97/'FY21 FTE'!T$120</f>
        <v>1</v>
      </c>
      <c r="U97" s="28">
        <f>'FY21 Final Initial $$'!U97/'FY21 FTE'!U$120</f>
        <v>1</v>
      </c>
      <c r="V97" s="28">
        <f>'FY21 Final Initial $$'!V97/'FY21 FTE'!V$120</f>
        <v>0.5</v>
      </c>
      <c r="W97" s="28">
        <f>'FY21 Final Initial $$'!W97/'FY21 FTE'!W$120</f>
        <v>1</v>
      </c>
      <c r="X97" s="28">
        <f>'FY21 Final Initial $$'!X97/'FY21 FTE'!X$120</f>
        <v>1</v>
      </c>
      <c r="Y97" s="28">
        <f>'FY21 Final Initial $$'!Y97/'FY21 FTE'!Y$120</f>
        <v>1</v>
      </c>
      <c r="Z97" s="28">
        <f>'FY21 Final Initial $$'!Z97/'FY21 FTE'!Z$120</f>
        <v>0</v>
      </c>
      <c r="AA97" s="28">
        <f>'FY21 Final Initial $$'!AA97/'FY21 FTE'!AA$120</f>
        <v>0</v>
      </c>
      <c r="AB97" s="28">
        <f>'FY21 Final Initial $$'!AB97/'FY21 FTE'!AB$120</f>
        <v>2</v>
      </c>
      <c r="AC97" s="28">
        <f>'FY21 Final Initial $$'!AC97/'FY21 FTE'!AC$120</f>
        <v>2</v>
      </c>
      <c r="AD97" s="28">
        <f>'FY21 Final Initial $$'!AD97/'FY21 FTE'!AD$120</f>
        <v>0</v>
      </c>
      <c r="AE97" s="28">
        <f>'FY21 Final Initial $$'!AE97/'FY21 FTE'!AE$120</f>
        <v>0</v>
      </c>
      <c r="AF97" s="28">
        <f>'FY21 Final Initial $$'!AF97/'FY21 FTE'!AF$120</f>
        <v>2</v>
      </c>
      <c r="AG97" s="28">
        <f>'FY21 Final Initial $$'!AG97/'FY21 FTE'!AG$120</f>
        <v>2</v>
      </c>
      <c r="AH97" s="28">
        <f>'FY21 Final Initial $$'!AH97/'FY21 FTE'!AH$120</f>
        <v>2</v>
      </c>
      <c r="AI97" s="28">
        <f>'FY21 Final Initial $$'!AI97/'FY21 FTE'!AI$120</f>
        <v>2</v>
      </c>
      <c r="AJ97" s="28">
        <f>'FY21 Final Initial $$'!AJ97/'FY21 FTE'!AJ$120</f>
        <v>2</v>
      </c>
      <c r="AK97" s="28">
        <f>'FY21 Final Initial $$'!AK97/'FY21 FTE'!AK$120</f>
        <v>2</v>
      </c>
      <c r="AL97" s="28">
        <f>'FY21 Final Initial $$'!AL97/'FY21 FTE'!AL$120</f>
        <v>2</v>
      </c>
      <c r="AM97" s="28">
        <f>'FY21 Final Initial $$'!AM97/'FY21 FTE'!AM$120</f>
        <v>2</v>
      </c>
      <c r="AN97" s="28">
        <f>'FY21 Final Initial $$'!AN97/'FY21 FTE'!AN$120</f>
        <v>1.0000000000000013</v>
      </c>
      <c r="AO97" s="28">
        <f>'FY21 Final Initial $$'!AO97/'FY21 FTE'!AO$120</f>
        <v>0</v>
      </c>
      <c r="AP97" s="28">
        <f>'FY21 Final Initial $$'!AP97/'FY21 FTE'!AP$120</f>
        <v>0</v>
      </c>
      <c r="AQ97" s="28">
        <f>'FY21 Final Initial $$'!AQ97/'FY21 FTE'!AQ$120</f>
        <v>0</v>
      </c>
      <c r="AR97" s="28">
        <f>'FY21 Final Initial $$'!AR97/'FY21 FTE'!AR$120</f>
        <v>0</v>
      </c>
      <c r="AS97" s="28">
        <f>'FY21 Final Initial $$'!AS97/'FY21 FTE'!AS$120</f>
        <v>0</v>
      </c>
      <c r="AT97" s="28">
        <f>'FY21 Final Initial $$'!AT97/'FY21 FTE'!AT$120</f>
        <v>0</v>
      </c>
      <c r="AU97" s="28">
        <f>'FY21 Final Initial $$'!AU97/'FY21 FTE'!AU$120</f>
        <v>0</v>
      </c>
      <c r="AV97" s="28">
        <f>'FY21 Final Initial $$'!AV97/'FY21 FTE'!AV$120</f>
        <v>0</v>
      </c>
      <c r="AW97" s="28">
        <f>'FY21 Final Initial $$'!AW97/'FY21 FTE'!AW$120</f>
        <v>0</v>
      </c>
      <c r="AX97" s="28">
        <f>'FY21 Final Initial $$'!AX97/'FY21 FTE'!AX$120</f>
        <v>0</v>
      </c>
      <c r="AY97" s="28">
        <f>'FY21 Final Initial $$'!AY97/'FY21 FTE'!AY$120</f>
        <v>1</v>
      </c>
      <c r="AZ97" s="28">
        <f>'FY21 Final Initial $$'!AZ97/'FY21 FTE'!AZ$120</f>
        <v>1</v>
      </c>
      <c r="BA97" s="28">
        <f>'FY21 Final Initial $$'!BA97/'FY21 FTE'!BA$120</f>
        <v>7</v>
      </c>
      <c r="BB97" s="28">
        <f>'FY21 Final Initial $$'!BB97/'FY21 FTE'!BB$120</f>
        <v>4</v>
      </c>
      <c r="BC97" s="28">
        <f>'FY21 Final Initial $$'!BC97/'FY21 FTE'!BC$120</f>
        <v>0</v>
      </c>
      <c r="BD97" s="28">
        <f>'FY21 Final Initial $$'!BD97/'FY21 FTE'!BD$120</f>
        <v>0</v>
      </c>
      <c r="BE97" s="28">
        <f>'FY21 Final Initial $$'!BE97/'FY21 FTE'!BE$120</f>
        <v>2</v>
      </c>
      <c r="BF97" s="28">
        <f>'FY21 Final Initial $$'!BF97/'FY21 FTE'!BF$120</f>
        <v>0</v>
      </c>
      <c r="BG97" s="28">
        <f>'FY21 Final Initial $$'!BG97/'FY21 FTE'!BG$120</f>
        <v>0</v>
      </c>
      <c r="BH97" s="28">
        <f>'FY21 Final Initial $$'!BH97/'FY21 FTE'!BH$120</f>
        <v>3</v>
      </c>
      <c r="BI97" s="28">
        <f>'FY21 Final Initial $$'!BI97/'FY21 FTE'!BI$120</f>
        <v>3</v>
      </c>
      <c r="BJ97" s="28">
        <f>'FY21 Final Initial $$'!BJ97/'FY21 FTE'!BJ$120</f>
        <v>0</v>
      </c>
      <c r="BK97" s="20">
        <v>0</v>
      </c>
      <c r="BL97" s="20"/>
      <c r="BM97" s="20"/>
      <c r="BN97" s="20">
        <v>105265.19</v>
      </c>
      <c r="BO97" s="20">
        <v>1741.5</v>
      </c>
      <c r="BP97" s="20">
        <v>0</v>
      </c>
      <c r="BQ97" s="28">
        <f>'FY21 Final Initial $$'!BQ97/'FY21 FTE'!BQ$120</f>
        <v>0</v>
      </c>
      <c r="BR97" s="28">
        <f>'FY21 Final Initial $$'!BR97/'FY21 FTE'!BR$120</f>
        <v>0</v>
      </c>
      <c r="BS97" s="28">
        <f>'FY21 Final Initial $$'!BS97/'FY21 FTE'!BS$120</f>
        <v>0</v>
      </c>
      <c r="BT97" s="28">
        <f>'FY21 Final Initial $$'!BT97/'FY21 FTE'!BT$120</f>
        <v>0</v>
      </c>
      <c r="BU97" s="28">
        <f>'FY21 Final Initial $$'!BU97/'FY21 FTE'!BU$120</f>
        <v>0</v>
      </c>
      <c r="BV97" s="28">
        <f>'FY21 Final Initial $$'!BV97/'FY21 FTE'!BV$120</f>
        <v>0</v>
      </c>
      <c r="BW97" s="28">
        <f>'FY21 Final Initial $$'!BW97/'FY21 FTE'!BW$120</f>
        <v>0</v>
      </c>
      <c r="BX97" s="20">
        <v>0</v>
      </c>
      <c r="BY97" s="20">
        <v>0</v>
      </c>
      <c r="BZ97" s="20">
        <v>0</v>
      </c>
      <c r="CA97" s="20">
        <v>0</v>
      </c>
      <c r="CB97" s="28">
        <f>'FY21 Final Initial $$'!CB97/'FY21 FTE'!CB$120</f>
        <v>1</v>
      </c>
      <c r="CC97" s="28">
        <f>'FY21 Final Initial $$'!CC97/'FY21 FTE'!CC$120</f>
        <v>0</v>
      </c>
      <c r="CD97" s="20">
        <v>0</v>
      </c>
      <c r="CE97" s="28">
        <f>'FY21 Final Initial $$'!CE97/'FY21 FTE'!CE$120</f>
        <v>0</v>
      </c>
      <c r="CF97" s="28">
        <f>'FY21 Final Initial $$'!CF97/'FY21 FTE'!CF$120</f>
        <v>0</v>
      </c>
      <c r="CG97" s="28">
        <f>'FY21 Final Initial $$'!CG97/'FY21 FTE'!CG$120</f>
        <v>0</v>
      </c>
      <c r="CH97" s="28">
        <f>'FY21 Final Initial $$'!CH97/'FY21 FTE'!CH$120</f>
        <v>0</v>
      </c>
      <c r="CI97" s="28">
        <f>'FY21 Final Initial $$'!CI97/'FY21 FTE'!CI$120</f>
        <v>0</v>
      </c>
      <c r="CJ97" s="28">
        <f>'FY21 Final Initial $$'!CJ97/'FY21 FTE'!CJ$120</f>
        <v>0</v>
      </c>
      <c r="CK97" s="28">
        <f>'FY21 Final Initial $$'!CK97/'FY21 FTE'!CK$120</f>
        <v>0</v>
      </c>
      <c r="CL97" s="28">
        <f>'FY21 Final Initial $$'!CL97/'FY21 FTE'!CL$120</f>
        <v>0</v>
      </c>
      <c r="CM97" s="20">
        <v>0</v>
      </c>
      <c r="CN97" s="20">
        <v>0</v>
      </c>
      <c r="CO97" s="20">
        <v>111843.51999999999</v>
      </c>
      <c r="CP97" s="20">
        <v>0</v>
      </c>
      <c r="CQ97" s="28">
        <f>'FY21 Final Initial $$'!CQ97/'FY21 FTE'!CQ$120</f>
        <v>0</v>
      </c>
      <c r="CR97" s="20">
        <v>75000</v>
      </c>
      <c r="CS97" s="20">
        <v>3800</v>
      </c>
      <c r="CT97" s="20">
        <v>219600</v>
      </c>
      <c r="CU97" s="20">
        <v>14808.994065281899</v>
      </c>
      <c r="CV97" s="28">
        <f>'FY21 Final Initial $$'!CV97/'FY21 FTE'!CV$120</f>
        <v>0</v>
      </c>
      <c r="CW97" s="28">
        <f>'FY21 Final Initial $$'!CW97/'FY21 FTE'!CW$120</f>
        <v>0</v>
      </c>
      <c r="CX97" s="20">
        <v>0</v>
      </c>
      <c r="CY97" s="28">
        <f>'FY21 Final Initial $$'!CY97/'FY21 FTE'!CY$120</f>
        <v>0</v>
      </c>
      <c r="CZ97" s="20">
        <v>0</v>
      </c>
      <c r="DA97" s="20">
        <v>0</v>
      </c>
      <c r="DB97" s="20">
        <v>25800</v>
      </c>
      <c r="DC97" s="20">
        <v>71155.297611510294</v>
      </c>
      <c r="DD97" s="20">
        <v>0</v>
      </c>
      <c r="DE97" s="20">
        <v>0</v>
      </c>
      <c r="DF97" s="20">
        <v>0</v>
      </c>
      <c r="DG97" s="20">
        <v>0</v>
      </c>
      <c r="DH97" s="28">
        <f>'FY21 Final Initial $$'!DH97/'FY21 FTE'!DH$120</f>
        <v>0</v>
      </c>
      <c r="DI97" s="20"/>
      <c r="DJ97" s="20">
        <v>12649.999606609344</v>
      </c>
      <c r="DK97" s="22">
        <v>0</v>
      </c>
      <c r="DL97" s="20">
        <v>0</v>
      </c>
      <c r="DM97" s="20">
        <v>0</v>
      </c>
      <c r="DN97" s="20">
        <v>5020559.4745504912</v>
      </c>
      <c r="DO97" s="29">
        <f t="shared" si="6"/>
        <v>6</v>
      </c>
      <c r="DP97" s="29">
        <f t="shared" si="6"/>
        <v>6</v>
      </c>
      <c r="DQ97" s="29">
        <f t="shared" si="7"/>
        <v>9.0000000000000018</v>
      </c>
      <c r="DR97" s="29">
        <f t="shared" si="8"/>
        <v>11</v>
      </c>
      <c r="DS97" s="29">
        <f t="shared" si="9"/>
        <v>4</v>
      </c>
    </row>
    <row r="98" spans="1:123" x14ac:dyDescent="0.25">
      <c r="A98" s="18">
        <v>427</v>
      </c>
      <c r="B98" t="s">
        <v>239</v>
      </c>
      <c r="C98" t="s">
        <v>152</v>
      </c>
      <c r="D98">
        <v>7</v>
      </c>
      <c r="E98">
        <v>334</v>
      </c>
      <c r="F98" s="19">
        <f t="shared" si="5"/>
        <v>0.54491017964071853</v>
      </c>
      <c r="G98">
        <v>182</v>
      </c>
      <c r="H98" s="28">
        <f>'FY21 Final Initial $$'!H98/'FY21 FTE'!H$120</f>
        <v>1</v>
      </c>
      <c r="I98" s="28">
        <f>'FY21 Final Initial $$'!I98/'FY21 FTE'!I$120</f>
        <v>1</v>
      </c>
      <c r="J98" s="28">
        <f>'FY21 Final Initial $$'!J98/'FY21 FTE'!J$120</f>
        <v>1.1000000000000001</v>
      </c>
      <c r="K98" s="28">
        <f>'FY21 Final Initial $$'!K98/'FY21 FTE'!K$120</f>
        <v>1</v>
      </c>
      <c r="L98" s="28">
        <f>'FY21 Final Initial $$'!L98/'FY21 FTE'!L$120</f>
        <v>0</v>
      </c>
      <c r="M98" s="28">
        <f>'FY21 Final Initial $$'!M98/'FY21 FTE'!M$120</f>
        <v>1</v>
      </c>
      <c r="N98" s="28">
        <f>'FY21 Final Initial $$'!N98/'FY21 FTE'!N$120</f>
        <v>1</v>
      </c>
      <c r="O98" s="28">
        <f>'FY21 Final Initial $$'!O98/'FY21 FTE'!O$120</f>
        <v>0</v>
      </c>
      <c r="P98" s="28">
        <f>'FY21 Final Initial $$'!P98/'FY21 FTE'!P$120</f>
        <v>0</v>
      </c>
      <c r="Q98" s="28">
        <f>'FY21 Final Initial $$'!Q98/'FY21 FTE'!Q$120</f>
        <v>0</v>
      </c>
      <c r="R98" s="28">
        <f>'FY21 Final Initial $$'!R98/'FY21 FTE'!R$120</f>
        <v>0</v>
      </c>
      <c r="S98" s="28">
        <f>'FY21 Final Initial $$'!S98/'FY21 FTE'!S$120</f>
        <v>1</v>
      </c>
      <c r="T98" s="28">
        <f>'FY21 Final Initial $$'!T98/'FY21 FTE'!T$120</f>
        <v>1</v>
      </c>
      <c r="U98" s="28">
        <f>'FY21 Final Initial $$'!U98/'FY21 FTE'!U$120</f>
        <v>4</v>
      </c>
      <c r="V98" s="28">
        <f>'FY21 Final Initial $$'!V98/'FY21 FTE'!V$120</f>
        <v>1</v>
      </c>
      <c r="W98" s="28">
        <f>'FY21 Final Initial $$'!W98/'FY21 FTE'!W$120</f>
        <v>0</v>
      </c>
      <c r="X98" s="28">
        <f>'FY21 Final Initial $$'!X98/'FY21 FTE'!X$120</f>
        <v>0</v>
      </c>
      <c r="Y98" s="28">
        <f>'FY21 Final Initial $$'!Y98/'FY21 FTE'!Y$120</f>
        <v>0</v>
      </c>
      <c r="Z98" s="28">
        <f>'FY21 Final Initial $$'!Z98/'FY21 FTE'!Z$120</f>
        <v>0</v>
      </c>
      <c r="AA98" s="28">
        <f>'FY21 Final Initial $$'!AA98/'FY21 FTE'!AA$120</f>
        <v>0</v>
      </c>
      <c r="AB98" s="28">
        <f>'FY21 Final Initial $$'!AB98/'FY21 FTE'!AB$120</f>
        <v>0</v>
      </c>
      <c r="AC98" s="28">
        <f>'FY21 Final Initial $$'!AC98/'FY21 FTE'!AC$120</f>
        <v>0</v>
      </c>
      <c r="AD98" s="28">
        <f>'FY21 Final Initial $$'!AD98/'FY21 FTE'!AD$120</f>
        <v>0</v>
      </c>
      <c r="AE98" s="28">
        <f>'FY21 Final Initial $$'!AE98/'FY21 FTE'!AE$120</f>
        <v>0</v>
      </c>
      <c r="AF98" s="28">
        <f>'FY21 Final Initial $$'!AF98/'FY21 FTE'!AF$120</f>
        <v>0</v>
      </c>
      <c r="AG98" s="28">
        <f>'FY21 Final Initial $$'!AG98/'FY21 FTE'!AG$120</f>
        <v>0</v>
      </c>
      <c r="AH98" s="28">
        <f>'FY21 Final Initial $$'!AH98/'FY21 FTE'!AH$120</f>
        <v>0</v>
      </c>
      <c r="AI98" s="28">
        <f>'FY21 Final Initial $$'!AI98/'FY21 FTE'!AI$120</f>
        <v>0</v>
      </c>
      <c r="AJ98" s="28">
        <f>'FY21 Final Initial $$'!AJ98/'FY21 FTE'!AJ$120</f>
        <v>0</v>
      </c>
      <c r="AK98" s="28">
        <f>'FY21 Final Initial $$'!AK98/'FY21 FTE'!AK$120</f>
        <v>0</v>
      </c>
      <c r="AL98" s="28">
        <f>'FY21 Final Initial $$'!AL98/'FY21 FTE'!AL$120</f>
        <v>0</v>
      </c>
      <c r="AM98" s="28">
        <f>'FY21 Final Initial $$'!AM98/'FY21 FTE'!AM$120</f>
        <v>0</v>
      </c>
      <c r="AN98" s="28">
        <f>'FY21 Final Initial $$'!AN98/'FY21 FTE'!AN$120</f>
        <v>0</v>
      </c>
      <c r="AO98" s="28">
        <f>'FY21 Final Initial $$'!AO98/'FY21 FTE'!AO$120</f>
        <v>4.8</v>
      </c>
      <c r="AP98" s="28">
        <f>'FY21 Final Initial $$'!AP98/'FY21 FTE'!AP$120</f>
        <v>5.9</v>
      </c>
      <c r="AQ98" s="28">
        <f>'FY21 Final Initial $$'!AQ98/'FY21 FTE'!AQ$120</f>
        <v>4.5</v>
      </c>
      <c r="AR98" s="28">
        <f>'FY21 Final Initial $$'!AR98/'FY21 FTE'!AR$120</f>
        <v>0</v>
      </c>
      <c r="AS98" s="28">
        <f>'FY21 Final Initial $$'!AS98/'FY21 FTE'!AS$120</f>
        <v>0</v>
      </c>
      <c r="AT98" s="28">
        <f>'FY21 Final Initial $$'!AT98/'FY21 FTE'!AT$120</f>
        <v>0</v>
      </c>
      <c r="AU98" s="28">
        <f>'FY21 Final Initial $$'!AU98/'FY21 FTE'!AU$120</f>
        <v>0</v>
      </c>
      <c r="AV98" s="28">
        <f>'FY21 Final Initial $$'!AV98/'FY21 FTE'!AV$120</f>
        <v>0</v>
      </c>
      <c r="AW98" s="28">
        <f>'FY21 Final Initial $$'!AW98/'FY21 FTE'!AW$120</f>
        <v>0</v>
      </c>
      <c r="AX98" s="28">
        <f>'FY21 Final Initial $$'!AX98/'FY21 FTE'!AX$120</f>
        <v>0</v>
      </c>
      <c r="AY98" s="28">
        <f>'FY21 Final Initial $$'!AY98/'FY21 FTE'!AY$120</f>
        <v>1</v>
      </c>
      <c r="AZ98" s="28">
        <f>'FY21 Final Initial $$'!AZ98/'FY21 FTE'!AZ$120</f>
        <v>1.5</v>
      </c>
      <c r="BA98" s="28">
        <f>'FY21 Final Initial $$'!BA98/'FY21 FTE'!BA$120</f>
        <v>8</v>
      </c>
      <c r="BB98" s="28">
        <f>'FY21 Final Initial $$'!BB98/'FY21 FTE'!BB$120</f>
        <v>2</v>
      </c>
      <c r="BC98" s="28">
        <f>'FY21 Final Initial $$'!BC98/'FY21 FTE'!BC$120</f>
        <v>0</v>
      </c>
      <c r="BD98" s="28">
        <f>'FY21 Final Initial $$'!BD98/'FY21 FTE'!BD$120</f>
        <v>0</v>
      </c>
      <c r="BE98" s="28">
        <f>'FY21 Final Initial $$'!BE98/'FY21 FTE'!BE$120</f>
        <v>0.36363636363636365</v>
      </c>
      <c r="BF98" s="28">
        <f>'FY21 Final Initial $$'!BF98/'FY21 FTE'!BF$120</f>
        <v>0</v>
      </c>
      <c r="BG98" s="28">
        <f>'FY21 Final Initial $$'!BG98/'FY21 FTE'!BG$120</f>
        <v>0</v>
      </c>
      <c r="BH98" s="28">
        <f>'FY21 Final Initial $$'!BH98/'FY21 FTE'!BH$120</f>
        <v>0</v>
      </c>
      <c r="BI98" s="28">
        <f>'FY21 Final Initial $$'!BI98/'FY21 FTE'!BI$120</f>
        <v>0</v>
      </c>
      <c r="BJ98" s="28">
        <f>'FY21 Final Initial $$'!BJ98/'FY21 FTE'!BJ$120</f>
        <v>0</v>
      </c>
      <c r="BK98" s="20">
        <v>0</v>
      </c>
      <c r="BL98" s="20"/>
      <c r="BM98" s="20"/>
      <c r="BN98" s="20">
        <v>123164.53</v>
      </c>
      <c r="BO98" s="20">
        <v>2037.62</v>
      </c>
      <c r="BP98" s="20">
        <v>0</v>
      </c>
      <c r="BQ98" s="28">
        <f>'FY21 Final Initial $$'!BQ98/'FY21 FTE'!BQ$120</f>
        <v>0</v>
      </c>
      <c r="BR98" s="28">
        <f>'FY21 Final Initial $$'!BR98/'FY21 FTE'!BR$120</f>
        <v>1</v>
      </c>
      <c r="BS98" s="28">
        <f>'FY21 Final Initial $$'!BS98/'FY21 FTE'!BS$120</f>
        <v>1</v>
      </c>
      <c r="BT98" s="28">
        <f>'FY21 Final Initial $$'!BT98/'FY21 FTE'!BT$120</f>
        <v>0</v>
      </c>
      <c r="BU98" s="28">
        <f>'FY21 Final Initial $$'!BU98/'FY21 FTE'!BU$120</f>
        <v>0</v>
      </c>
      <c r="BV98" s="28">
        <f>'FY21 Final Initial $$'!BV98/'FY21 FTE'!BV$120</f>
        <v>0</v>
      </c>
      <c r="BW98" s="28">
        <f>'FY21 Final Initial $$'!BW98/'FY21 FTE'!BW$120</f>
        <v>0</v>
      </c>
      <c r="BX98" s="20">
        <v>0</v>
      </c>
      <c r="BY98" s="20">
        <v>0</v>
      </c>
      <c r="BZ98" s="20">
        <v>0</v>
      </c>
      <c r="CA98" s="20">
        <v>0</v>
      </c>
      <c r="CB98" s="28">
        <f>'FY21 Final Initial $$'!CB98/'FY21 FTE'!CB$120</f>
        <v>0</v>
      </c>
      <c r="CC98" s="28">
        <f>'FY21 Final Initial $$'!CC98/'FY21 FTE'!CC$120</f>
        <v>0</v>
      </c>
      <c r="CD98" s="20">
        <v>0</v>
      </c>
      <c r="CE98" s="28">
        <f>'FY21 Final Initial $$'!CE98/'FY21 FTE'!CE$120</f>
        <v>0</v>
      </c>
      <c r="CF98" s="28">
        <f>'FY21 Final Initial $$'!CF98/'FY21 FTE'!CF$120</f>
        <v>0</v>
      </c>
      <c r="CG98" s="28">
        <f>'FY21 Final Initial $$'!CG98/'FY21 FTE'!CG$120</f>
        <v>0</v>
      </c>
      <c r="CH98" s="28">
        <f>'FY21 Final Initial $$'!CH98/'FY21 FTE'!CH$120</f>
        <v>0</v>
      </c>
      <c r="CI98" s="28">
        <f>'FY21 Final Initial $$'!CI98/'FY21 FTE'!CI$120</f>
        <v>0</v>
      </c>
      <c r="CJ98" s="28">
        <f>'FY21 Final Initial $$'!CJ98/'FY21 FTE'!CJ$120</f>
        <v>0</v>
      </c>
      <c r="CK98" s="28">
        <f>'FY21 Final Initial $$'!CK98/'FY21 FTE'!CK$120</f>
        <v>2</v>
      </c>
      <c r="CL98" s="28">
        <f>'FY21 Final Initial $$'!CL98/'FY21 FTE'!CL$120</f>
        <v>0</v>
      </c>
      <c r="CM98" s="20">
        <v>23000</v>
      </c>
      <c r="CN98" s="20">
        <v>5000</v>
      </c>
      <c r="CO98" s="20">
        <v>244045.91999999998</v>
      </c>
      <c r="CP98" s="20">
        <v>100000</v>
      </c>
      <c r="CQ98" s="28">
        <f>'FY21 Final Initial $$'!CQ98/'FY21 FTE'!CQ$120</f>
        <v>0</v>
      </c>
      <c r="CR98" s="20">
        <v>0</v>
      </c>
      <c r="CS98" s="20">
        <v>3640</v>
      </c>
      <c r="CT98" s="20">
        <v>0</v>
      </c>
      <c r="CU98" s="20">
        <v>26112.078481012657</v>
      </c>
      <c r="CV98" s="28">
        <f>'FY21 Final Initial $$'!CV98/'FY21 FTE'!CV$120</f>
        <v>0</v>
      </c>
      <c r="CW98" s="28">
        <f>'FY21 Final Initial $$'!CW98/'FY21 FTE'!CW$120</f>
        <v>0</v>
      </c>
      <c r="CX98" s="20">
        <v>0</v>
      </c>
      <c r="CY98" s="28">
        <f>'FY21 Final Initial $$'!CY98/'FY21 FTE'!CY$120</f>
        <v>0</v>
      </c>
      <c r="CZ98" s="20">
        <v>0</v>
      </c>
      <c r="DA98" s="20">
        <v>0</v>
      </c>
      <c r="DB98" s="20">
        <v>33400</v>
      </c>
      <c r="DC98" s="20">
        <v>76009.879361674932</v>
      </c>
      <c r="DD98" s="20">
        <v>0</v>
      </c>
      <c r="DE98" s="20">
        <v>0</v>
      </c>
      <c r="DF98" s="20">
        <v>0</v>
      </c>
      <c r="DG98" s="20">
        <v>0</v>
      </c>
      <c r="DH98" s="28">
        <f>'FY21 Final Initial $$'!DH98/'FY21 FTE'!DH$120</f>
        <v>0</v>
      </c>
      <c r="DI98" s="20"/>
      <c r="DJ98" s="20">
        <v>51749.998927116394</v>
      </c>
      <c r="DK98" s="22">
        <v>0</v>
      </c>
      <c r="DL98" s="20">
        <v>0</v>
      </c>
      <c r="DM98" s="20">
        <v>0</v>
      </c>
      <c r="DN98" s="20">
        <v>5309270.5461284965</v>
      </c>
      <c r="DO98" s="29">
        <f t="shared" si="6"/>
        <v>0</v>
      </c>
      <c r="DP98" s="29">
        <f t="shared" si="6"/>
        <v>0</v>
      </c>
      <c r="DQ98" s="29">
        <f t="shared" si="7"/>
        <v>15.2</v>
      </c>
      <c r="DR98" s="29">
        <f t="shared" si="8"/>
        <v>10.863636363636363</v>
      </c>
      <c r="DS98" s="29">
        <f t="shared" si="9"/>
        <v>2</v>
      </c>
    </row>
    <row r="99" spans="1:123" x14ac:dyDescent="0.25">
      <c r="A99" s="18">
        <v>319</v>
      </c>
      <c r="B99" t="s">
        <v>240</v>
      </c>
      <c r="C99" t="s">
        <v>135</v>
      </c>
      <c r="D99">
        <v>8</v>
      </c>
      <c r="E99">
        <v>433</v>
      </c>
      <c r="F99" s="19">
        <f t="shared" si="5"/>
        <v>0.91224018475750579</v>
      </c>
      <c r="G99">
        <v>395</v>
      </c>
      <c r="H99" s="28">
        <f>'FY21 Final Initial $$'!H99/'FY21 FTE'!H$120</f>
        <v>1</v>
      </c>
      <c r="I99" s="28">
        <f>'FY21 Final Initial $$'!I99/'FY21 FTE'!I$120</f>
        <v>1</v>
      </c>
      <c r="J99" s="28">
        <f>'FY21 Final Initial $$'!J99/'FY21 FTE'!J$120</f>
        <v>1.1000000000000001</v>
      </c>
      <c r="K99" s="28">
        <f>'FY21 Final Initial $$'!K99/'FY21 FTE'!K$120</f>
        <v>0</v>
      </c>
      <c r="L99" s="28">
        <f>'FY21 Final Initial $$'!L99/'FY21 FTE'!L$120</f>
        <v>0</v>
      </c>
      <c r="M99" s="28">
        <f>'FY21 Final Initial $$'!M99/'FY21 FTE'!M$120</f>
        <v>1</v>
      </c>
      <c r="N99" s="28">
        <f>'FY21 Final Initial $$'!N99/'FY21 FTE'!N$120</f>
        <v>1</v>
      </c>
      <c r="O99" s="28">
        <f>'FY21 Final Initial $$'!O99/'FY21 FTE'!O$120</f>
        <v>1.1000000000000001</v>
      </c>
      <c r="P99" s="28">
        <f>'FY21 Final Initial $$'!P99/'FY21 FTE'!P$120</f>
        <v>0</v>
      </c>
      <c r="Q99" s="28">
        <f>'FY21 Final Initial $$'!Q99/'FY21 FTE'!Q$120</f>
        <v>0</v>
      </c>
      <c r="R99" s="28">
        <f>'FY21 Final Initial $$'!R99/'FY21 FTE'!R$120</f>
        <v>0</v>
      </c>
      <c r="S99" s="28">
        <f>'FY21 Final Initial $$'!S99/'FY21 FTE'!S$120</f>
        <v>1</v>
      </c>
      <c r="T99" s="28">
        <f>'FY21 Final Initial $$'!T99/'FY21 FTE'!T$120</f>
        <v>1</v>
      </c>
      <c r="U99" s="28">
        <f>'FY21 Final Initial $$'!U99/'FY21 FTE'!U$120</f>
        <v>2</v>
      </c>
      <c r="V99" s="28">
        <f>'FY21 Final Initial $$'!V99/'FY21 FTE'!V$120</f>
        <v>1</v>
      </c>
      <c r="W99" s="28">
        <f>'FY21 Final Initial $$'!W99/'FY21 FTE'!W$120</f>
        <v>1</v>
      </c>
      <c r="X99" s="28">
        <f>'FY21 Final Initial $$'!X99/'FY21 FTE'!X$120</f>
        <v>1</v>
      </c>
      <c r="Y99" s="28">
        <f>'FY21 Final Initial $$'!Y99/'FY21 FTE'!Y$120</f>
        <v>1</v>
      </c>
      <c r="Z99" s="28">
        <f>'FY21 Final Initial $$'!Z99/'FY21 FTE'!Z$120</f>
        <v>1.5</v>
      </c>
      <c r="AA99" s="28">
        <f>'FY21 Final Initial $$'!AA99/'FY21 FTE'!AA$120</f>
        <v>0</v>
      </c>
      <c r="AB99" s="28">
        <f>'FY21 Final Initial $$'!AB99/'FY21 FTE'!AB$120</f>
        <v>2</v>
      </c>
      <c r="AC99" s="28">
        <f>'FY21 Final Initial $$'!AC99/'FY21 FTE'!AC$120</f>
        <v>2</v>
      </c>
      <c r="AD99" s="28">
        <f>'FY21 Final Initial $$'!AD99/'FY21 FTE'!AD$120</f>
        <v>0</v>
      </c>
      <c r="AE99" s="28">
        <f>'FY21 Final Initial $$'!AE99/'FY21 FTE'!AE$120</f>
        <v>0</v>
      </c>
      <c r="AF99" s="28">
        <f>'FY21 Final Initial $$'!AF99/'FY21 FTE'!AF$120</f>
        <v>3</v>
      </c>
      <c r="AG99" s="28">
        <f>'FY21 Final Initial $$'!AG99/'FY21 FTE'!AG$120</f>
        <v>3</v>
      </c>
      <c r="AH99" s="28">
        <f>'FY21 Final Initial $$'!AH99/'FY21 FTE'!AH$120</f>
        <v>3</v>
      </c>
      <c r="AI99" s="28">
        <f>'FY21 Final Initial $$'!AI99/'FY21 FTE'!AI$120</f>
        <v>3</v>
      </c>
      <c r="AJ99" s="28">
        <f>'FY21 Final Initial $$'!AJ99/'FY21 FTE'!AJ$120</f>
        <v>3</v>
      </c>
      <c r="AK99" s="28">
        <f>'FY21 Final Initial $$'!AK99/'FY21 FTE'!AK$120</f>
        <v>3</v>
      </c>
      <c r="AL99" s="28">
        <f>'FY21 Final Initial $$'!AL99/'FY21 FTE'!AL$120</f>
        <v>3</v>
      </c>
      <c r="AM99" s="28">
        <f>'FY21 Final Initial $$'!AM99/'FY21 FTE'!AM$120</f>
        <v>3</v>
      </c>
      <c r="AN99" s="28">
        <f>'FY21 Final Initial $$'!AN99/'FY21 FTE'!AN$120</f>
        <v>3.000000000000004</v>
      </c>
      <c r="AO99" s="28">
        <f>'FY21 Final Initial $$'!AO99/'FY21 FTE'!AO$120</f>
        <v>0</v>
      </c>
      <c r="AP99" s="28">
        <f>'FY21 Final Initial $$'!AP99/'FY21 FTE'!AP$120</f>
        <v>0</v>
      </c>
      <c r="AQ99" s="28">
        <f>'FY21 Final Initial $$'!AQ99/'FY21 FTE'!AQ$120</f>
        <v>0</v>
      </c>
      <c r="AR99" s="28">
        <f>'FY21 Final Initial $$'!AR99/'FY21 FTE'!AR$120</f>
        <v>0</v>
      </c>
      <c r="AS99" s="28">
        <f>'FY21 Final Initial $$'!AS99/'FY21 FTE'!AS$120</f>
        <v>0</v>
      </c>
      <c r="AT99" s="28">
        <f>'FY21 Final Initial $$'!AT99/'FY21 FTE'!AT$120</f>
        <v>0</v>
      </c>
      <c r="AU99" s="28">
        <f>'FY21 Final Initial $$'!AU99/'FY21 FTE'!AU$120</f>
        <v>0</v>
      </c>
      <c r="AV99" s="28">
        <f>'FY21 Final Initial $$'!AV99/'FY21 FTE'!AV$120</f>
        <v>0</v>
      </c>
      <c r="AW99" s="28">
        <f>'FY21 Final Initial $$'!AW99/'FY21 FTE'!AW$120</f>
        <v>0</v>
      </c>
      <c r="AX99" s="28">
        <f>'FY21 Final Initial $$'!AX99/'FY21 FTE'!AX$120</f>
        <v>0</v>
      </c>
      <c r="AY99" s="28">
        <f>'FY21 Final Initial $$'!AY99/'FY21 FTE'!AY$120</f>
        <v>1</v>
      </c>
      <c r="AZ99" s="28">
        <f>'FY21 Final Initial $$'!AZ99/'FY21 FTE'!AZ$120</f>
        <v>2</v>
      </c>
      <c r="BA99" s="28">
        <f>'FY21 Final Initial $$'!BA99/'FY21 FTE'!BA$120</f>
        <v>8</v>
      </c>
      <c r="BB99" s="28">
        <f>'FY21 Final Initial $$'!BB99/'FY21 FTE'!BB$120</f>
        <v>4</v>
      </c>
      <c r="BC99" s="28">
        <f>'FY21 Final Initial $$'!BC99/'FY21 FTE'!BC$120</f>
        <v>0</v>
      </c>
      <c r="BD99" s="28">
        <f>'FY21 Final Initial $$'!BD99/'FY21 FTE'!BD$120</f>
        <v>0</v>
      </c>
      <c r="BE99" s="28">
        <f>'FY21 Final Initial $$'!BE99/'FY21 FTE'!BE$120</f>
        <v>9.0909090909090912E-2</v>
      </c>
      <c r="BF99" s="28">
        <f>'FY21 Final Initial $$'!BF99/'FY21 FTE'!BF$120</f>
        <v>0</v>
      </c>
      <c r="BG99" s="28">
        <f>'FY21 Final Initial $$'!BG99/'FY21 FTE'!BG$120</f>
        <v>0</v>
      </c>
      <c r="BH99" s="28">
        <f>'FY21 Final Initial $$'!BH99/'FY21 FTE'!BH$120</f>
        <v>4</v>
      </c>
      <c r="BI99" s="28">
        <f>'FY21 Final Initial $$'!BI99/'FY21 FTE'!BI$120</f>
        <v>4</v>
      </c>
      <c r="BJ99" s="28">
        <f>'FY21 Final Initial $$'!BJ99/'FY21 FTE'!BJ$120</f>
        <v>0</v>
      </c>
      <c r="BK99" s="20">
        <v>0</v>
      </c>
      <c r="BL99" s="20"/>
      <c r="BM99" s="20"/>
      <c r="BN99" s="20">
        <v>182829.01</v>
      </c>
      <c r="BO99" s="20">
        <v>3024.7</v>
      </c>
      <c r="BP99" s="20">
        <v>0</v>
      </c>
      <c r="BQ99" s="28">
        <f>'FY21 Final Initial $$'!BQ99/'FY21 FTE'!BQ$120</f>
        <v>0</v>
      </c>
      <c r="BR99" s="28">
        <f>'FY21 Final Initial $$'!BR99/'FY21 FTE'!BR$120</f>
        <v>0</v>
      </c>
      <c r="BS99" s="28">
        <f>'FY21 Final Initial $$'!BS99/'FY21 FTE'!BS$120</f>
        <v>0</v>
      </c>
      <c r="BT99" s="28">
        <f>'FY21 Final Initial $$'!BT99/'FY21 FTE'!BT$120</f>
        <v>0</v>
      </c>
      <c r="BU99" s="28">
        <f>'FY21 Final Initial $$'!BU99/'FY21 FTE'!BU$120</f>
        <v>1</v>
      </c>
      <c r="BV99" s="28">
        <f>'FY21 Final Initial $$'!BV99/'FY21 FTE'!BV$120</f>
        <v>0</v>
      </c>
      <c r="BW99" s="28">
        <f>'FY21 Final Initial $$'!BW99/'FY21 FTE'!BW$120</f>
        <v>0</v>
      </c>
      <c r="BX99" s="20">
        <v>0</v>
      </c>
      <c r="BY99" s="20">
        <v>0</v>
      </c>
      <c r="BZ99" s="20">
        <v>0</v>
      </c>
      <c r="CA99" s="20">
        <v>0</v>
      </c>
      <c r="CB99" s="28">
        <f>'FY21 Final Initial $$'!CB99/'FY21 FTE'!CB$120</f>
        <v>0</v>
      </c>
      <c r="CC99" s="28">
        <f>'FY21 Final Initial $$'!CC99/'FY21 FTE'!CC$120</f>
        <v>0</v>
      </c>
      <c r="CD99" s="20">
        <v>0</v>
      </c>
      <c r="CE99" s="28">
        <f>'FY21 Final Initial $$'!CE99/'FY21 FTE'!CE$120</f>
        <v>0</v>
      </c>
      <c r="CF99" s="28">
        <f>'FY21 Final Initial $$'!CF99/'FY21 FTE'!CF$120</f>
        <v>0</v>
      </c>
      <c r="CG99" s="28">
        <f>'FY21 Final Initial $$'!CG99/'FY21 FTE'!CG$120</f>
        <v>0</v>
      </c>
      <c r="CH99" s="28">
        <f>'FY21 Final Initial $$'!CH99/'FY21 FTE'!CH$120</f>
        <v>0</v>
      </c>
      <c r="CI99" s="28">
        <f>'FY21 Final Initial $$'!CI99/'FY21 FTE'!CI$120</f>
        <v>0</v>
      </c>
      <c r="CJ99" s="28">
        <f>'FY21 Final Initial $$'!CJ99/'FY21 FTE'!CJ$120</f>
        <v>0</v>
      </c>
      <c r="CK99" s="28">
        <f>'FY21 Final Initial $$'!CK99/'FY21 FTE'!CK$120</f>
        <v>0</v>
      </c>
      <c r="CL99" s="28">
        <f>'FY21 Final Initial $$'!CL99/'FY21 FTE'!CL$120</f>
        <v>0</v>
      </c>
      <c r="CM99" s="20">
        <v>0</v>
      </c>
      <c r="CN99" s="20">
        <v>0</v>
      </c>
      <c r="CO99" s="20">
        <v>111843.51999999999</v>
      </c>
      <c r="CP99" s="20">
        <v>0</v>
      </c>
      <c r="CQ99" s="28">
        <f>'FY21 Final Initial $$'!CQ99/'FY21 FTE'!CQ$120</f>
        <v>0</v>
      </c>
      <c r="CR99" s="20">
        <v>0</v>
      </c>
      <c r="CS99" s="20">
        <v>15800</v>
      </c>
      <c r="CT99" s="20">
        <v>0</v>
      </c>
      <c r="CU99" s="20">
        <v>23521.523890784985</v>
      </c>
      <c r="CV99" s="28">
        <f>'FY21 Final Initial $$'!CV99/'FY21 FTE'!CV$120</f>
        <v>0</v>
      </c>
      <c r="CW99" s="28">
        <f>'FY21 Final Initial $$'!CW99/'FY21 FTE'!CW$120</f>
        <v>0</v>
      </c>
      <c r="CX99" s="20">
        <v>0</v>
      </c>
      <c r="CY99" s="28">
        <f>'FY21 Final Initial $$'!CY99/'FY21 FTE'!CY$120</f>
        <v>0</v>
      </c>
      <c r="CZ99" s="20">
        <v>0</v>
      </c>
      <c r="DA99" s="20">
        <v>0</v>
      </c>
      <c r="DB99" s="20">
        <v>43300</v>
      </c>
      <c r="DC99" s="20">
        <v>91734.405054844392</v>
      </c>
      <c r="DD99" s="20">
        <v>0</v>
      </c>
      <c r="DE99" s="20">
        <v>0</v>
      </c>
      <c r="DF99" s="20">
        <v>0</v>
      </c>
      <c r="DG99" s="20">
        <v>0</v>
      </c>
      <c r="DH99" s="28">
        <f>'FY21 Final Initial $$'!DH99/'FY21 FTE'!DH$120</f>
        <v>0</v>
      </c>
      <c r="DI99" s="20"/>
      <c r="DJ99" s="20">
        <v>46125.001609325409</v>
      </c>
      <c r="DK99" s="22">
        <v>0</v>
      </c>
      <c r="DL99" s="20">
        <v>0</v>
      </c>
      <c r="DM99" s="20">
        <v>0</v>
      </c>
      <c r="DN99" s="20">
        <v>6437838.5650850311</v>
      </c>
      <c r="DO99" s="29">
        <f t="shared" si="6"/>
        <v>8</v>
      </c>
      <c r="DP99" s="29">
        <f t="shared" si="6"/>
        <v>8</v>
      </c>
      <c r="DQ99" s="29">
        <f t="shared" si="7"/>
        <v>15.000000000000004</v>
      </c>
      <c r="DR99" s="29">
        <f t="shared" si="8"/>
        <v>11.090909090909092</v>
      </c>
      <c r="DS99" s="29">
        <f t="shared" si="9"/>
        <v>4</v>
      </c>
    </row>
    <row r="100" spans="1:123" x14ac:dyDescent="0.25">
      <c r="A100" s="18">
        <v>1142</v>
      </c>
      <c r="B100" t="s">
        <v>241</v>
      </c>
      <c r="C100" t="s">
        <v>135</v>
      </c>
      <c r="D100">
        <v>2</v>
      </c>
      <c r="E100">
        <v>107</v>
      </c>
      <c r="F100" s="19">
        <f t="shared" si="5"/>
        <v>0.49532710280373832</v>
      </c>
      <c r="G100">
        <v>53</v>
      </c>
      <c r="H100" s="28">
        <f>'FY21 Final Initial $$'!H100/'FY21 FTE'!H$120</f>
        <v>1</v>
      </c>
      <c r="I100" s="28">
        <f>'FY21 Final Initial $$'!I100/'FY21 FTE'!I$120</f>
        <v>1</v>
      </c>
      <c r="J100" s="28">
        <f>'FY21 Final Initial $$'!J100/'FY21 FTE'!J$120</f>
        <v>0</v>
      </c>
      <c r="K100" s="28">
        <f>'FY21 Final Initial $$'!K100/'FY21 FTE'!K$120</f>
        <v>0</v>
      </c>
      <c r="L100" s="28">
        <f>'FY21 Final Initial $$'!L100/'FY21 FTE'!L$120</f>
        <v>0</v>
      </c>
      <c r="M100" s="28">
        <f>'FY21 Final Initial $$'!M100/'FY21 FTE'!M$120</f>
        <v>0.5</v>
      </c>
      <c r="N100" s="28">
        <f>'FY21 Final Initial $$'!N100/'FY21 FTE'!N$120</f>
        <v>1</v>
      </c>
      <c r="O100" s="28">
        <f>'FY21 Final Initial $$'!O100/'FY21 FTE'!O$120</f>
        <v>0</v>
      </c>
      <c r="P100" s="28">
        <f>'FY21 Final Initial $$'!P100/'FY21 FTE'!P$120</f>
        <v>0</v>
      </c>
      <c r="Q100" s="28">
        <f>'FY21 Final Initial $$'!Q100/'FY21 FTE'!Q$120</f>
        <v>0</v>
      </c>
      <c r="R100" s="28">
        <f>'FY21 Final Initial $$'!R100/'FY21 FTE'!R$120</f>
        <v>0</v>
      </c>
      <c r="S100" s="28">
        <f>'FY21 Final Initial $$'!S100/'FY21 FTE'!S$120</f>
        <v>1</v>
      </c>
      <c r="T100" s="28">
        <f>'FY21 Final Initial $$'!T100/'FY21 FTE'!T$120</f>
        <v>1</v>
      </c>
      <c r="U100" s="28">
        <f>'FY21 Final Initial $$'!U100/'FY21 FTE'!U$120</f>
        <v>1</v>
      </c>
      <c r="V100" s="28">
        <f>'FY21 Final Initial $$'!V100/'FY21 FTE'!V$120</f>
        <v>0.5</v>
      </c>
      <c r="W100" s="28">
        <f>'FY21 Final Initial $$'!W100/'FY21 FTE'!W$120</f>
        <v>1</v>
      </c>
      <c r="X100" s="28">
        <f>'FY21 Final Initial $$'!X100/'FY21 FTE'!X$120</f>
        <v>1</v>
      </c>
      <c r="Y100" s="28">
        <f>'FY21 Final Initial $$'!Y100/'FY21 FTE'!Y$120</f>
        <v>1</v>
      </c>
      <c r="Z100" s="28">
        <f>'FY21 Final Initial $$'!Z100/'FY21 FTE'!Z$120</f>
        <v>0</v>
      </c>
      <c r="AA100" s="28">
        <f>'FY21 Final Initial $$'!AA100/'FY21 FTE'!AA$120</f>
        <v>0</v>
      </c>
      <c r="AB100" s="28">
        <f>'FY21 Final Initial $$'!AB100/'FY21 FTE'!AB$120</f>
        <v>3</v>
      </c>
      <c r="AC100" s="28">
        <f>'FY21 Final Initial $$'!AC100/'FY21 FTE'!AC$120</f>
        <v>3</v>
      </c>
      <c r="AD100" s="28">
        <f>'FY21 Final Initial $$'!AD100/'FY21 FTE'!AD$120</f>
        <v>0</v>
      </c>
      <c r="AE100" s="28">
        <f>'FY21 Final Initial $$'!AE100/'FY21 FTE'!AE$120</f>
        <v>0</v>
      </c>
      <c r="AF100" s="28">
        <f>'FY21 Final Initial $$'!AF100/'FY21 FTE'!AF$120</f>
        <v>2</v>
      </c>
      <c r="AG100" s="28">
        <f>'FY21 Final Initial $$'!AG100/'FY21 FTE'!AG$120</f>
        <v>2</v>
      </c>
      <c r="AH100" s="28">
        <f>'FY21 Final Initial $$'!AH100/'FY21 FTE'!AH$120</f>
        <v>0</v>
      </c>
      <c r="AI100" s="28">
        <f>'FY21 Final Initial $$'!AI100/'FY21 FTE'!AI$120</f>
        <v>0</v>
      </c>
      <c r="AJ100" s="28">
        <f>'FY21 Final Initial $$'!AJ100/'FY21 FTE'!AJ$120</f>
        <v>0</v>
      </c>
      <c r="AK100" s="28">
        <f>'FY21 Final Initial $$'!AK100/'FY21 FTE'!AK$120</f>
        <v>0</v>
      </c>
      <c r="AL100" s="28">
        <f>'FY21 Final Initial $$'!AL100/'FY21 FTE'!AL$120</f>
        <v>0</v>
      </c>
      <c r="AM100" s="28">
        <f>'FY21 Final Initial $$'!AM100/'FY21 FTE'!AM$120</f>
        <v>0</v>
      </c>
      <c r="AN100" s="28">
        <f>'FY21 Final Initial $$'!AN100/'FY21 FTE'!AN$120</f>
        <v>0</v>
      </c>
      <c r="AO100" s="28">
        <f>'FY21 Final Initial $$'!AO100/'FY21 FTE'!AO$120</f>
        <v>0</v>
      </c>
      <c r="AP100" s="28">
        <f>'FY21 Final Initial $$'!AP100/'FY21 FTE'!AP$120</f>
        <v>0</v>
      </c>
      <c r="AQ100" s="28">
        <f>'FY21 Final Initial $$'!AQ100/'FY21 FTE'!AQ$120</f>
        <v>0</v>
      </c>
      <c r="AR100" s="28">
        <f>'FY21 Final Initial $$'!AR100/'FY21 FTE'!AR$120</f>
        <v>0</v>
      </c>
      <c r="AS100" s="28">
        <f>'FY21 Final Initial $$'!AS100/'FY21 FTE'!AS$120</f>
        <v>0</v>
      </c>
      <c r="AT100" s="28">
        <f>'FY21 Final Initial $$'!AT100/'FY21 FTE'!AT$120</f>
        <v>0</v>
      </c>
      <c r="AU100" s="28">
        <f>'FY21 Final Initial $$'!AU100/'FY21 FTE'!AU$120</f>
        <v>0</v>
      </c>
      <c r="AV100" s="28">
        <f>'FY21 Final Initial $$'!AV100/'FY21 FTE'!AV$120</f>
        <v>0</v>
      </c>
      <c r="AW100" s="28">
        <f>'FY21 Final Initial $$'!AW100/'FY21 FTE'!AW$120</f>
        <v>0</v>
      </c>
      <c r="AX100" s="28">
        <f>'FY21 Final Initial $$'!AX100/'FY21 FTE'!AX$120</f>
        <v>0</v>
      </c>
      <c r="AY100" s="28">
        <f>'FY21 Final Initial $$'!AY100/'FY21 FTE'!AY$120</f>
        <v>0</v>
      </c>
      <c r="AZ100" s="28">
        <f>'FY21 Final Initial $$'!AZ100/'FY21 FTE'!AZ$120</f>
        <v>0</v>
      </c>
      <c r="BA100" s="28">
        <f>'FY21 Final Initial $$'!BA100/'FY21 FTE'!BA$120</f>
        <v>5</v>
      </c>
      <c r="BB100" s="28">
        <f>'FY21 Final Initial $$'!BB100/'FY21 FTE'!BB$120</f>
        <v>4</v>
      </c>
      <c r="BC100" s="28">
        <f>'FY21 Final Initial $$'!BC100/'FY21 FTE'!BC$120</f>
        <v>0</v>
      </c>
      <c r="BD100" s="28">
        <f>'FY21 Final Initial $$'!BD100/'FY21 FTE'!BD$120</f>
        <v>0</v>
      </c>
      <c r="BE100" s="28">
        <f>'FY21 Final Initial $$'!BE100/'FY21 FTE'!BE$120</f>
        <v>0.36363636363636365</v>
      </c>
      <c r="BF100" s="28">
        <f>'FY21 Final Initial $$'!BF100/'FY21 FTE'!BF$120</f>
        <v>0</v>
      </c>
      <c r="BG100" s="28">
        <f>'FY21 Final Initial $$'!BG100/'FY21 FTE'!BG$120</f>
        <v>0</v>
      </c>
      <c r="BH100" s="28">
        <f>'FY21 Final Initial $$'!BH100/'FY21 FTE'!BH$120</f>
        <v>2</v>
      </c>
      <c r="BI100" s="28">
        <f>'FY21 Final Initial $$'!BI100/'FY21 FTE'!BI$120</f>
        <v>1</v>
      </c>
      <c r="BJ100" s="28">
        <f>'FY21 Final Initial $$'!BJ100/'FY21 FTE'!BJ$120</f>
        <v>0</v>
      </c>
      <c r="BK100" s="20">
        <v>0</v>
      </c>
      <c r="BL100" s="20"/>
      <c r="BM100" s="20"/>
      <c r="BN100" s="20">
        <v>21161.52</v>
      </c>
      <c r="BO100" s="20">
        <v>324.89999999999998</v>
      </c>
      <c r="BP100" s="20">
        <v>0</v>
      </c>
      <c r="BQ100" s="28">
        <f>'FY21 Final Initial $$'!BQ100/'FY21 FTE'!BQ$120</f>
        <v>0</v>
      </c>
      <c r="BR100" s="28">
        <f>'FY21 Final Initial $$'!BR100/'FY21 FTE'!BR$120</f>
        <v>0</v>
      </c>
      <c r="BS100" s="28">
        <f>'FY21 Final Initial $$'!BS100/'FY21 FTE'!BS$120</f>
        <v>0</v>
      </c>
      <c r="BT100" s="28">
        <f>'FY21 Final Initial $$'!BT100/'FY21 FTE'!BT$120</f>
        <v>0</v>
      </c>
      <c r="BU100" s="28">
        <f>'FY21 Final Initial $$'!BU100/'FY21 FTE'!BU$120</f>
        <v>0</v>
      </c>
      <c r="BV100" s="28">
        <f>'FY21 Final Initial $$'!BV100/'FY21 FTE'!BV$120</f>
        <v>0</v>
      </c>
      <c r="BW100" s="28">
        <f>'FY21 Final Initial $$'!BW100/'FY21 FTE'!BW$120</f>
        <v>0</v>
      </c>
      <c r="BX100" s="20">
        <v>0</v>
      </c>
      <c r="BY100" s="20">
        <v>0</v>
      </c>
      <c r="BZ100" s="20">
        <v>0</v>
      </c>
      <c r="CA100" s="20">
        <v>0</v>
      </c>
      <c r="CB100" s="28">
        <f>'FY21 Final Initial $$'!CB100/'FY21 FTE'!CB$120</f>
        <v>0</v>
      </c>
      <c r="CC100" s="28">
        <f>'FY21 Final Initial $$'!CC100/'FY21 FTE'!CC$120</f>
        <v>0</v>
      </c>
      <c r="CD100" s="20">
        <v>0</v>
      </c>
      <c r="CE100" s="28">
        <f>'FY21 Final Initial $$'!CE100/'FY21 FTE'!CE$120</f>
        <v>0</v>
      </c>
      <c r="CF100" s="28">
        <f>'FY21 Final Initial $$'!CF100/'FY21 FTE'!CF$120</f>
        <v>0</v>
      </c>
      <c r="CG100" s="28">
        <f>'FY21 Final Initial $$'!CG100/'FY21 FTE'!CG$120</f>
        <v>0</v>
      </c>
      <c r="CH100" s="28">
        <f>'FY21 Final Initial $$'!CH100/'FY21 FTE'!CH$120</f>
        <v>0</v>
      </c>
      <c r="CI100" s="28">
        <f>'FY21 Final Initial $$'!CI100/'FY21 FTE'!CI$120</f>
        <v>0</v>
      </c>
      <c r="CJ100" s="28">
        <f>'FY21 Final Initial $$'!CJ100/'FY21 FTE'!CJ$120</f>
        <v>0</v>
      </c>
      <c r="CK100" s="28">
        <f>'FY21 Final Initial $$'!CK100/'FY21 FTE'!CK$120</f>
        <v>0</v>
      </c>
      <c r="CL100" s="28">
        <f>'FY21 Final Initial $$'!CL100/'FY21 FTE'!CL$120</f>
        <v>0</v>
      </c>
      <c r="CM100" s="20">
        <v>0</v>
      </c>
      <c r="CN100" s="20">
        <v>0</v>
      </c>
      <c r="CO100" s="20">
        <v>55921.759999999995</v>
      </c>
      <c r="CP100" s="20">
        <v>0</v>
      </c>
      <c r="CQ100" s="28">
        <f>'FY21 Final Initial $$'!CQ100/'FY21 FTE'!CQ$120</f>
        <v>0</v>
      </c>
      <c r="CR100" s="20">
        <v>0</v>
      </c>
      <c r="CS100" s="20">
        <v>0</v>
      </c>
      <c r="CT100" s="20">
        <v>0</v>
      </c>
      <c r="CU100" s="20">
        <v>0</v>
      </c>
      <c r="CV100" s="28">
        <f>'FY21 Final Initial $$'!CV100/'FY21 FTE'!CV$120</f>
        <v>0</v>
      </c>
      <c r="CW100" s="28">
        <f>'FY21 Final Initial $$'!CW100/'FY21 FTE'!CW$120</f>
        <v>0</v>
      </c>
      <c r="CX100" s="20">
        <v>0</v>
      </c>
      <c r="CY100" s="28">
        <f>'FY21 Final Initial $$'!CY100/'FY21 FTE'!CY$120</f>
        <v>0</v>
      </c>
      <c r="CZ100" s="20">
        <v>0</v>
      </c>
      <c r="DA100" s="20">
        <v>0</v>
      </c>
      <c r="DB100" s="20">
        <v>10700</v>
      </c>
      <c r="DC100" s="20">
        <v>39165.444627950266</v>
      </c>
      <c r="DD100" s="20">
        <v>0</v>
      </c>
      <c r="DE100" s="20">
        <v>0</v>
      </c>
      <c r="DF100" s="20">
        <v>0</v>
      </c>
      <c r="DG100" s="20">
        <v>0</v>
      </c>
      <c r="DH100" s="28">
        <f>'FY21 Final Initial $$'!DH100/'FY21 FTE'!DH$120</f>
        <v>0</v>
      </c>
      <c r="DI100" s="20"/>
      <c r="DJ100" s="20">
        <v>6128</v>
      </c>
      <c r="DK100" s="22">
        <v>0</v>
      </c>
      <c r="DL100" s="20">
        <v>0</v>
      </c>
      <c r="DM100" s="20">
        <v>0</v>
      </c>
      <c r="DN100" s="20">
        <v>2605418.1769229998</v>
      </c>
      <c r="DO100" s="29">
        <f t="shared" si="6"/>
        <v>5</v>
      </c>
      <c r="DP100" s="29">
        <f t="shared" si="6"/>
        <v>5</v>
      </c>
      <c r="DQ100" s="29">
        <f t="shared" si="7"/>
        <v>0</v>
      </c>
      <c r="DR100" s="29">
        <f t="shared" si="8"/>
        <v>5.3636363636363633</v>
      </c>
      <c r="DS100" s="29">
        <f t="shared" si="9"/>
        <v>4</v>
      </c>
    </row>
    <row r="101" spans="1:123" x14ac:dyDescent="0.25">
      <c r="A101" s="18">
        <v>321</v>
      </c>
      <c r="B101" t="s">
        <v>242</v>
      </c>
      <c r="C101" t="s">
        <v>135</v>
      </c>
      <c r="D101">
        <v>3</v>
      </c>
      <c r="E101">
        <v>512</v>
      </c>
      <c r="F101" s="19">
        <f t="shared" si="5"/>
        <v>8.203125E-2</v>
      </c>
      <c r="G101">
        <v>42</v>
      </c>
      <c r="H101" s="28">
        <f>'FY21 Final Initial $$'!H101/'FY21 FTE'!H$120</f>
        <v>1</v>
      </c>
      <c r="I101" s="28">
        <f>'FY21 Final Initial $$'!I101/'FY21 FTE'!I$120</f>
        <v>1</v>
      </c>
      <c r="J101" s="28">
        <f>'FY21 Final Initial $$'!J101/'FY21 FTE'!J$120</f>
        <v>1.3</v>
      </c>
      <c r="K101" s="28">
        <f>'FY21 Final Initial $$'!K101/'FY21 FTE'!K$120</f>
        <v>0</v>
      </c>
      <c r="L101" s="28">
        <f>'FY21 Final Initial $$'!L101/'FY21 FTE'!L$120</f>
        <v>0</v>
      </c>
      <c r="M101" s="28">
        <f>'FY21 Final Initial $$'!M101/'FY21 FTE'!M$120</f>
        <v>1</v>
      </c>
      <c r="N101" s="28">
        <f>'FY21 Final Initial $$'!N101/'FY21 FTE'!N$120</f>
        <v>1</v>
      </c>
      <c r="O101" s="28">
        <f>'FY21 Final Initial $$'!O101/'FY21 FTE'!O$120</f>
        <v>1.3</v>
      </c>
      <c r="P101" s="28">
        <f>'FY21 Final Initial $$'!P101/'FY21 FTE'!P$120</f>
        <v>0</v>
      </c>
      <c r="Q101" s="28">
        <f>'FY21 Final Initial $$'!Q101/'FY21 FTE'!Q$120</f>
        <v>0</v>
      </c>
      <c r="R101" s="28">
        <f>'FY21 Final Initial $$'!R101/'FY21 FTE'!R$120</f>
        <v>0</v>
      </c>
      <c r="S101" s="28">
        <f>'FY21 Final Initial $$'!S101/'FY21 FTE'!S$120</f>
        <v>1</v>
      </c>
      <c r="T101" s="28">
        <f>'FY21 Final Initial $$'!T101/'FY21 FTE'!T$120</f>
        <v>1</v>
      </c>
      <c r="U101" s="28">
        <f>'FY21 Final Initial $$'!U101/'FY21 FTE'!U$120</f>
        <v>3</v>
      </c>
      <c r="V101" s="28">
        <f>'FY21 Final Initial $$'!V101/'FY21 FTE'!V$120</f>
        <v>1</v>
      </c>
      <c r="W101" s="28">
        <f>'FY21 Final Initial $$'!W101/'FY21 FTE'!W$120</f>
        <v>1</v>
      </c>
      <c r="X101" s="28">
        <f>'FY21 Final Initial $$'!X101/'FY21 FTE'!X$120</f>
        <v>1</v>
      </c>
      <c r="Y101" s="28">
        <f>'FY21 Final Initial $$'!Y101/'FY21 FTE'!Y$120</f>
        <v>1</v>
      </c>
      <c r="Z101" s="28">
        <f>'FY21 Final Initial $$'!Z101/'FY21 FTE'!Z$120</f>
        <v>1.5</v>
      </c>
      <c r="AA101" s="28">
        <f>'FY21 Final Initial $$'!AA101/'FY21 FTE'!AA$120</f>
        <v>0</v>
      </c>
      <c r="AB101" s="28">
        <f>'FY21 Final Initial $$'!AB101/'FY21 FTE'!AB$120</f>
        <v>0</v>
      </c>
      <c r="AC101" s="28">
        <f>'FY21 Final Initial $$'!AC101/'FY21 FTE'!AC$120</f>
        <v>0</v>
      </c>
      <c r="AD101" s="28">
        <f>'FY21 Final Initial $$'!AD101/'FY21 FTE'!AD$120</f>
        <v>0</v>
      </c>
      <c r="AE101" s="28">
        <f>'FY21 Final Initial $$'!AE101/'FY21 FTE'!AE$120</f>
        <v>0</v>
      </c>
      <c r="AF101" s="28">
        <f>'FY21 Final Initial $$'!AF101/'FY21 FTE'!AF$120</f>
        <v>1</v>
      </c>
      <c r="AG101" s="28">
        <f>'FY21 Final Initial $$'!AG101/'FY21 FTE'!AG$120</f>
        <v>1</v>
      </c>
      <c r="AH101" s="28">
        <f>'FY21 Final Initial $$'!AH101/'FY21 FTE'!AH$120</f>
        <v>4</v>
      </c>
      <c r="AI101" s="28">
        <f>'FY21 Final Initial $$'!AI101/'FY21 FTE'!AI$120</f>
        <v>4</v>
      </c>
      <c r="AJ101" s="28">
        <f>'FY21 Final Initial $$'!AJ101/'FY21 FTE'!AJ$120</f>
        <v>4</v>
      </c>
      <c r="AK101" s="28">
        <f>'FY21 Final Initial $$'!AK101/'FY21 FTE'!AK$120</f>
        <v>4</v>
      </c>
      <c r="AL101" s="28">
        <f>'FY21 Final Initial $$'!AL101/'FY21 FTE'!AL$120</f>
        <v>4</v>
      </c>
      <c r="AM101" s="28">
        <f>'FY21 Final Initial $$'!AM101/'FY21 FTE'!AM$120</f>
        <v>4</v>
      </c>
      <c r="AN101" s="28">
        <f>'FY21 Final Initial $$'!AN101/'FY21 FTE'!AN$120</f>
        <v>3.000000000000004</v>
      </c>
      <c r="AO101" s="28">
        <f>'FY21 Final Initial $$'!AO101/'FY21 FTE'!AO$120</f>
        <v>0</v>
      </c>
      <c r="AP101" s="28">
        <f>'FY21 Final Initial $$'!AP101/'FY21 FTE'!AP$120</f>
        <v>0</v>
      </c>
      <c r="AQ101" s="28">
        <f>'FY21 Final Initial $$'!AQ101/'FY21 FTE'!AQ$120</f>
        <v>0</v>
      </c>
      <c r="AR101" s="28">
        <f>'FY21 Final Initial $$'!AR101/'FY21 FTE'!AR$120</f>
        <v>0</v>
      </c>
      <c r="AS101" s="28">
        <f>'FY21 Final Initial $$'!AS101/'FY21 FTE'!AS$120</f>
        <v>0</v>
      </c>
      <c r="AT101" s="28">
        <f>'FY21 Final Initial $$'!AT101/'FY21 FTE'!AT$120</f>
        <v>0</v>
      </c>
      <c r="AU101" s="28">
        <f>'FY21 Final Initial $$'!AU101/'FY21 FTE'!AU$120</f>
        <v>0</v>
      </c>
      <c r="AV101" s="28">
        <f>'FY21 Final Initial $$'!AV101/'FY21 FTE'!AV$120</f>
        <v>0</v>
      </c>
      <c r="AW101" s="28">
        <f>'FY21 Final Initial $$'!AW101/'FY21 FTE'!AW$120</f>
        <v>0</v>
      </c>
      <c r="AX101" s="28">
        <f>'FY21 Final Initial $$'!AX101/'FY21 FTE'!AX$120</f>
        <v>0</v>
      </c>
      <c r="AY101" s="28">
        <f>'FY21 Final Initial $$'!AY101/'FY21 FTE'!AY$120</f>
        <v>0.5</v>
      </c>
      <c r="AZ101" s="28">
        <f>'FY21 Final Initial $$'!AZ101/'FY21 FTE'!AZ$120</f>
        <v>1</v>
      </c>
      <c r="BA101" s="28">
        <f>'FY21 Final Initial $$'!BA101/'FY21 FTE'!BA$120</f>
        <v>3</v>
      </c>
      <c r="BB101" s="28">
        <f>'FY21 Final Initial $$'!BB101/'FY21 FTE'!BB$120</f>
        <v>0</v>
      </c>
      <c r="BC101" s="28">
        <f>'FY21 Final Initial $$'!BC101/'FY21 FTE'!BC$120</f>
        <v>0</v>
      </c>
      <c r="BD101" s="28">
        <f>'FY21 Final Initial $$'!BD101/'FY21 FTE'!BD$120</f>
        <v>0</v>
      </c>
      <c r="BE101" s="28">
        <f>'FY21 Final Initial $$'!BE101/'FY21 FTE'!BE$120</f>
        <v>5</v>
      </c>
      <c r="BF101" s="28">
        <f>'FY21 Final Initial $$'!BF101/'FY21 FTE'!BF$120</f>
        <v>0</v>
      </c>
      <c r="BG101" s="28">
        <f>'FY21 Final Initial $$'!BG101/'FY21 FTE'!BG$120</f>
        <v>1</v>
      </c>
      <c r="BH101" s="28">
        <f>'FY21 Final Initial $$'!BH101/'FY21 FTE'!BH$120</f>
        <v>0</v>
      </c>
      <c r="BI101" s="28">
        <f>'FY21 Final Initial $$'!BI101/'FY21 FTE'!BI$120</f>
        <v>0</v>
      </c>
      <c r="BJ101" s="28">
        <f>'FY21 Final Initial $$'!BJ101/'FY21 FTE'!BJ$120</f>
        <v>0</v>
      </c>
      <c r="BK101" s="20">
        <v>0</v>
      </c>
      <c r="BL101" s="20"/>
      <c r="BM101" s="20"/>
      <c r="BN101" s="20">
        <v>0</v>
      </c>
      <c r="BO101" s="20">
        <v>0</v>
      </c>
      <c r="BP101" s="20">
        <v>12350</v>
      </c>
      <c r="BQ101" s="28">
        <f>'FY21 Final Initial $$'!BQ101/'FY21 FTE'!BQ$120</f>
        <v>0</v>
      </c>
      <c r="BR101" s="28">
        <f>'FY21 Final Initial $$'!BR101/'FY21 FTE'!BR$120</f>
        <v>0</v>
      </c>
      <c r="BS101" s="28">
        <f>'FY21 Final Initial $$'!BS101/'FY21 FTE'!BS$120</f>
        <v>0</v>
      </c>
      <c r="BT101" s="28">
        <f>'FY21 Final Initial $$'!BT101/'FY21 FTE'!BT$120</f>
        <v>0</v>
      </c>
      <c r="BU101" s="28">
        <f>'FY21 Final Initial $$'!BU101/'FY21 FTE'!BU$120</f>
        <v>0</v>
      </c>
      <c r="BV101" s="28">
        <f>'FY21 Final Initial $$'!BV101/'FY21 FTE'!BV$120</f>
        <v>0</v>
      </c>
      <c r="BW101" s="28">
        <f>'FY21 Final Initial $$'!BW101/'FY21 FTE'!BW$120</f>
        <v>0</v>
      </c>
      <c r="BX101" s="20">
        <v>0</v>
      </c>
      <c r="BY101" s="20">
        <v>0</v>
      </c>
      <c r="BZ101" s="20">
        <v>0</v>
      </c>
      <c r="CA101" s="20">
        <v>0</v>
      </c>
      <c r="CB101" s="28">
        <f>'FY21 Final Initial $$'!CB101/'FY21 FTE'!CB$120</f>
        <v>0</v>
      </c>
      <c r="CC101" s="28">
        <f>'FY21 Final Initial $$'!CC101/'FY21 FTE'!CC$120</f>
        <v>0</v>
      </c>
      <c r="CD101" s="20">
        <v>0</v>
      </c>
      <c r="CE101" s="28">
        <f>'FY21 Final Initial $$'!CE101/'FY21 FTE'!CE$120</f>
        <v>0</v>
      </c>
      <c r="CF101" s="28">
        <f>'FY21 Final Initial $$'!CF101/'FY21 FTE'!CF$120</f>
        <v>0</v>
      </c>
      <c r="CG101" s="28">
        <f>'FY21 Final Initial $$'!CG101/'FY21 FTE'!CG$120</f>
        <v>0</v>
      </c>
      <c r="CH101" s="28">
        <f>'FY21 Final Initial $$'!CH101/'FY21 FTE'!CH$120</f>
        <v>0</v>
      </c>
      <c r="CI101" s="28">
        <f>'FY21 Final Initial $$'!CI101/'FY21 FTE'!CI$120</f>
        <v>0</v>
      </c>
      <c r="CJ101" s="28">
        <f>'FY21 Final Initial $$'!CJ101/'FY21 FTE'!CJ$120</f>
        <v>0</v>
      </c>
      <c r="CK101" s="28">
        <f>'FY21 Final Initial $$'!CK101/'FY21 FTE'!CK$120</f>
        <v>0</v>
      </c>
      <c r="CL101" s="28">
        <f>'FY21 Final Initial $$'!CL101/'FY21 FTE'!CL$120</f>
        <v>0</v>
      </c>
      <c r="CM101" s="20">
        <v>0</v>
      </c>
      <c r="CN101" s="20">
        <v>0</v>
      </c>
      <c r="CO101" s="20">
        <v>111843.51999999999</v>
      </c>
      <c r="CP101" s="20">
        <v>0</v>
      </c>
      <c r="CQ101" s="28">
        <f>'FY21 Final Initial $$'!CQ101/'FY21 FTE'!CQ$120</f>
        <v>0</v>
      </c>
      <c r="CR101" s="20">
        <v>0</v>
      </c>
      <c r="CS101" s="20">
        <v>0</v>
      </c>
      <c r="CT101" s="20">
        <v>0</v>
      </c>
      <c r="CU101" s="20">
        <v>27118.851533742331</v>
      </c>
      <c r="CV101" s="28">
        <f>'FY21 Final Initial $$'!CV101/'FY21 FTE'!CV$120</f>
        <v>0</v>
      </c>
      <c r="CW101" s="28">
        <f>'FY21 Final Initial $$'!CW101/'FY21 FTE'!CW$120</f>
        <v>0</v>
      </c>
      <c r="CX101" s="20">
        <v>0</v>
      </c>
      <c r="CY101" s="28">
        <f>'FY21 Final Initial $$'!CY101/'FY21 FTE'!CY$120</f>
        <v>0</v>
      </c>
      <c r="CZ101" s="20">
        <v>0</v>
      </c>
      <c r="DA101" s="20">
        <v>0</v>
      </c>
      <c r="DB101" s="20">
        <v>51200</v>
      </c>
      <c r="DC101" s="20">
        <v>90136.512462023966</v>
      </c>
      <c r="DD101" s="20">
        <v>0</v>
      </c>
      <c r="DE101" s="20">
        <v>0</v>
      </c>
      <c r="DF101" s="20">
        <v>0</v>
      </c>
      <c r="DG101" s="20">
        <v>0</v>
      </c>
      <c r="DH101" s="28">
        <f>'FY21 Final Initial $$'!DH101/'FY21 FTE'!DH$120</f>
        <v>0</v>
      </c>
      <c r="DI101" s="20"/>
      <c r="DJ101" s="20">
        <v>3499.9999022111297</v>
      </c>
      <c r="DK101" s="22">
        <v>0</v>
      </c>
      <c r="DL101" s="20">
        <v>0</v>
      </c>
      <c r="DM101" s="20">
        <v>0</v>
      </c>
      <c r="DN101" s="20">
        <v>5894690.0306075402</v>
      </c>
      <c r="DO101" s="29">
        <f t="shared" si="6"/>
        <v>5</v>
      </c>
      <c r="DP101" s="29">
        <f t="shared" si="6"/>
        <v>5</v>
      </c>
      <c r="DQ101" s="29">
        <f t="shared" si="7"/>
        <v>19.000000000000004</v>
      </c>
      <c r="DR101" s="29">
        <f t="shared" si="8"/>
        <v>10.5</v>
      </c>
      <c r="DS101" s="29">
        <f t="shared" si="9"/>
        <v>0</v>
      </c>
    </row>
    <row r="102" spans="1:123" x14ac:dyDescent="0.25">
      <c r="A102" s="18">
        <v>428</v>
      </c>
      <c r="B102" t="s">
        <v>243</v>
      </c>
      <c r="C102" t="s">
        <v>152</v>
      </c>
      <c r="D102">
        <v>6</v>
      </c>
      <c r="E102">
        <v>513</v>
      </c>
      <c r="F102" s="19">
        <f t="shared" si="5"/>
        <v>0.31773879142300193</v>
      </c>
      <c r="G102">
        <v>163</v>
      </c>
      <c r="H102" s="28">
        <f>'FY21 Final Initial $$'!H102/'FY21 FTE'!H$120</f>
        <v>1</v>
      </c>
      <c r="I102" s="28">
        <f>'FY21 Final Initial $$'!I102/'FY21 FTE'!I$120</f>
        <v>1</v>
      </c>
      <c r="J102" s="28">
        <f>'FY21 Final Initial $$'!J102/'FY21 FTE'!J$120</f>
        <v>1.7</v>
      </c>
      <c r="K102" s="28">
        <f>'FY21 Final Initial $$'!K102/'FY21 FTE'!K$120</f>
        <v>1.3</v>
      </c>
      <c r="L102" s="28">
        <f>'FY21 Final Initial $$'!L102/'FY21 FTE'!L$120</f>
        <v>0</v>
      </c>
      <c r="M102" s="28">
        <f>'FY21 Final Initial $$'!M102/'FY21 FTE'!M$120</f>
        <v>1</v>
      </c>
      <c r="N102" s="28">
        <f>'FY21 Final Initial $$'!N102/'FY21 FTE'!N$120</f>
        <v>1</v>
      </c>
      <c r="O102" s="28">
        <f>'FY21 Final Initial $$'!O102/'FY21 FTE'!O$120</f>
        <v>1.3</v>
      </c>
      <c r="P102" s="28">
        <f>'FY21 Final Initial $$'!P102/'FY21 FTE'!P$120</f>
        <v>0</v>
      </c>
      <c r="Q102" s="28">
        <f>'FY21 Final Initial $$'!Q102/'FY21 FTE'!Q$120</f>
        <v>0</v>
      </c>
      <c r="R102" s="28">
        <f>'FY21 Final Initial $$'!R102/'FY21 FTE'!R$120</f>
        <v>0</v>
      </c>
      <c r="S102" s="28">
        <f>'FY21 Final Initial $$'!S102/'FY21 FTE'!S$120</f>
        <v>1</v>
      </c>
      <c r="T102" s="28">
        <f>'FY21 Final Initial $$'!T102/'FY21 FTE'!T$120</f>
        <v>1</v>
      </c>
      <c r="U102" s="28">
        <f>'FY21 Final Initial $$'!U102/'FY21 FTE'!U$120</f>
        <v>4</v>
      </c>
      <c r="V102" s="28">
        <f>'FY21 Final Initial $$'!V102/'FY21 FTE'!V$120</f>
        <v>1</v>
      </c>
      <c r="W102" s="28">
        <f>'FY21 Final Initial $$'!W102/'FY21 FTE'!W$120</f>
        <v>0</v>
      </c>
      <c r="X102" s="28">
        <f>'FY21 Final Initial $$'!X102/'FY21 FTE'!X$120</f>
        <v>0</v>
      </c>
      <c r="Y102" s="28">
        <f>'FY21 Final Initial $$'!Y102/'FY21 FTE'!Y$120</f>
        <v>0</v>
      </c>
      <c r="Z102" s="28">
        <f>'FY21 Final Initial $$'!Z102/'FY21 FTE'!Z$120</f>
        <v>0</v>
      </c>
      <c r="AA102" s="28">
        <f>'FY21 Final Initial $$'!AA102/'FY21 FTE'!AA$120</f>
        <v>0</v>
      </c>
      <c r="AB102" s="28">
        <f>'FY21 Final Initial $$'!AB102/'FY21 FTE'!AB$120</f>
        <v>0</v>
      </c>
      <c r="AC102" s="28">
        <f>'FY21 Final Initial $$'!AC102/'FY21 FTE'!AC$120</f>
        <v>0</v>
      </c>
      <c r="AD102" s="28">
        <f>'FY21 Final Initial $$'!AD102/'FY21 FTE'!AD$120</f>
        <v>0</v>
      </c>
      <c r="AE102" s="28">
        <f>'FY21 Final Initial $$'!AE102/'FY21 FTE'!AE$120</f>
        <v>0</v>
      </c>
      <c r="AF102" s="28">
        <f>'FY21 Final Initial $$'!AF102/'FY21 FTE'!AF$120</f>
        <v>0</v>
      </c>
      <c r="AG102" s="28">
        <f>'FY21 Final Initial $$'!AG102/'FY21 FTE'!AG$120</f>
        <v>0</v>
      </c>
      <c r="AH102" s="28">
        <f>'FY21 Final Initial $$'!AH102/'FY21 FTE'!AH$120</f>
        <v>0</v>
      </c>
      <c r="AI102" s="28">
        <f>'FY21 Final Initial $$'!AI102/'FY21 FTE'!AI$120</f>
        <v>0</v>
      </c>
      <c r="AJ102" s="28">
        <f>'FY21 Final Initial $$'!AJ102/'FY21 FTE'!AJ$120</f>
        <v>0</v>
      </c>
      <c r="AK102" s="28">
        <f>'FY21 Final Initial $$'!AK102/'FY21 FTE'!AK$120</f>
        <v>0</v>
      </c>
      <c r="AL102" s="28">
        <f>'FY21 Final Initial $$'!AL102/'FY21 FTE'!AL$120</f>
        <v>0</v>
      </c>
      <c r="AM102" s="28">
        <f>'FY21 Final Initial $$'!AM102/'FY21 FTE'!AM$120</f>
        <v>0</v>
      </c>
      <c r="AN102" s="28">
        <f>'FY21 Final Initial $$'!AN102/'FY21 FTE'!AN$120</f>
        <v>0</v>
      </c>
      <c r="AO102" s="28">
        <f>'FY21 Final Initial $$'!AO102/'FY21 FTE'!AO$120</f>
        <v>8.1999999999999993</v>
      </c>
      <c r="AP102" s="28">
        <f>'FY21 Final Initial $$'!AP102/'FY21 FTE'!AP$120</f>
        <v>7.7</v>
      </c>
      <c r="AQ102" s="28">
        <f>'FY21 Final Initial $$'!AQ102/'FY21 FTE'!AQ$120</f>
        <v>7.4</v>
      </c>
      <c r="AR102" s="28">
        <f>'FY21 Final Initial $$'!AR102/'FY21 FTE'!AR$120</f>
        <v>0</v>
      </c>
      <c r="AS102" s="28">
        <f>'FY21 Final Initial $$'!AS102/'FY21 FTE'!AS$120</f>
        <v>0</v>
      </c>
      <c r="AT102" s="28">
        <f>'FY21 Final Initial $$'!AT102/'FY21 FTE'!AT$120</f>
        <v>0</v>
      </c>
      <c r="AU102" s="28">
        <f>'FY21 Final Initial $$'!AU102/'FY21 FTE'!AU$120</f>
        <v>0</v>
      </c>
      <c r="AV102" s="28">
        <f>'FY21 Final Initial $$'!AV102/'FY21 FTE'!AV$120</f>
        <v>0</v>
      </c>
      <c r="AW102" s="28">
        <f>'FY21 Final Initial $$'!AW102/'FY21 FTE'!AW$120</f>
        <v>0</v>
      </c>
      <c r="AX102" s="28">
        <f>'FY21 Final Initial $$'!AX102/'FY21 FTE'!AX$120</f>
        <v>0</v>
      </c>
      <c r="AY102" s="28">
        <f>'FY21 Final Initial $$'!AY102/'FY21 FTE'!AY$120</f>
        <v>1</v>
      </c>
      <c r="AZ102" s="28">
        <f>'FY21 Final Initial $$'!AZ102/'FY21 FTE'!AZ$120</f>
        <v>1.5</v>
      </c>
      <c r="BA102" s="28">
        <f>'FY21 Final Initial $$'!BA102/'FY21 FTE'!BA$120</f>
        <v>9</v>
      </c>
      <c r="BB102" s="28">
        <f>'FY21 Final Initial $$'!BB102/'FY21 FTE'!BB$120</f>
        <v>3</v>
      </c>
      <c r="BC102" s="28">
        <f>'FY21 Final Initial $$'!BC102/'FY21 FTE'!BC$120</f>
        <v>0</v>
      </c>
      <c r="BD102" s="28">
        <f>'FY21 Final Initial $$'!BD102/'FY21 FTE'!BD$120</f>
        <v>0</v>
      </c>
      <c r="BE102" s="28">
        <f>'FY21 Final Initial $$'!BE102/'FY21 FTE'!BE$120</f>
        <v>0.31818181818181818</v>
      </c>
      <c r="BF102" s="28">
        <f>'FY21 Final Initial $$'!BF102/'FY21 FTE'!BF$120</f>
        <v>0</v>
      </c>
      <c r="BG102" s="28">
        <f>'FY21 Final Initial $$'!BG102/'FY21 FTE'!BG$120</f>
        <v>0</v>
      </c>
      <c r="BH102" s="28">
        <f>'FY21 Final Initial $$'!BH102/'FY21 FTE'!BH$120</f>
        <v>0</v>
      </c>
      <c r="BI102" s="28">
        <f>'FY21 Final Initial $$'!BI102/'FY21 FTE'!BI$120</f>
        <v>0</v>
      </c>
      <c r="BJ102" s="28">
        <f>'FY21 Final Initial $$'!BJ102/'FY21 FTE'!BJ$120</f>
        <v>0</v>
      </c>
      <c r="BK102" s="20">
        <v>0</v>
      </c>
      <c r="BL102" s="20"/>
      <c r="BM102" s="20"/>
      <c r="BN102" s="20">
        <v>74723.570000000007</v>
      </c>
      <c r="BO102" s="20">
        <v>1313.26</v>
      </c>
      <c r="BP102" s="20">
        <v>12175</v>
      </c>
      <c r="BQ102" s="28">
        <f>'FY21 Final Initial $$'!BQ102/'FY21 FTE'!BQ$120</f>
        <v>0</v>
      </c>
      <c r="BR102" s="28">
        <f>'FY21 Final Initial $$'!BR102/'FY21 FTE'!BR$120</f>
        <v>1</v>
      </c>
      <c r="BS102" s="28">
        <f>'FY21 Final Initial $$'!BS102/'FY21 FTE'!BS$120</f>
        <v>1</v>
      </c>
      <c r="BT102" s="28">
        <f>'FY21 Final Initial $$'!BT102/'FY21 FTE'!BT$120</f>
        <v>0</v>
      </c>
      <c r="BU102" s="28">
        <f>'FY21 Final Initial $$'!BU102/'FY21 FTE'!BU$120</f>
        <v>0</v>
      </c>
      <c r="BV102" s="28">
        <f>'FY21 Final Initial $$'!BV102/'FY21 FTE'!BV$120</f>
        <v>0</v>
      </c>
      <c r="BW102" s="28">
        <f>'FY21 Final Initial $$'!BW102/'FY21 FTE'!BW$120</f>
        <v>0</v>
      </c>
      <c r="BX102" s="20">
        <v>0</v>
      </c>
      <c r="BY102" s="20">
        <v>0</v>
      </c>
      <c r="BZ102" s="20">
        <v>0</v>
      </c>
      <c r="CA102" s="20">
        <v>0</v>
      </c>
      <c r="CB102" s="28">
        <f>'FY21 Final Initial $$'!CB102/'FY21 FTE'!CB$120</f>
        <v>0</v>
      </c>
      <c r="CC102" s="28">
        <f>'FY21 Final Initial $$'!CC102/'FY21 FTE'!CC$120</f>
        <v>0</v>
      </c>
      <c r="CD102" s="20">
        <v>0</v>
      </c>
      <c r="CE102" s="28">
        <f>'FY21 Final Initial $$'!CE102/'FY21 FTE'!CE$120</f>
        <v>0</v>
      </c>
      <c r="CF102" s="28">
        <f>'FY21 Final Initial $$'!CF102/'FY21 FTE'!CF$120</f>
        <v>0</v>
      </c>
      <c r="CG102" s="28">
        <f>'FY21 Final Initial $$'!CG102/'FY21 FTE'!CG$120</f>
        <v>0</v>
      </c>
      <c r="CH102" s="28">
        <f>'FY21 Final Initial $$'!CH102/'FY21 FTE'!CH$120</f>
        <v>0</v>
      </c>
      <c r="CI102" s="28">
        <f>'FY21 Final Initial $$'!CI102/'FY21 FTE'!CI$120</f>
        <v>0</v>
      </c>
      <c r="CJ102" s="28">
        <f>'FY21 Final Initial $$'!CJ102/'FY21 FTE'!CJ$120</f>
        <v>0</v>
      </c>
      <c r="CK102" s="28">
        <f>'FY21 Final Initial $$'!CK102/'FY21 FTE'!CK$120</f>
        <v>3</v>
      </c>
      <c r="CL102" s="28">
        <f>'FY21 Final Initial $$'!CL102/'FY21 FTE'!CL$120</f>
        <v>0</v>
      </c>
      <c r="CM102" s="20">
        <v>23000</v>
      </c>
      <c r="CN102" s="20">
        <v>5000</v>
      </c>
      <c r="CO102" s="20">
        <v>244045.91999999998</v>
      </c>
      <c r="CP102" s="20">
        <v>100000</v>
      </c>
      <c r="CQ102" s="28">
        <f>'FY21 Final Initial $$'!CQ102/'FY21 FTE'!CQ$120</f>
        <v>0</v>
      </c>
      <c r="CR102" s="20">
        <v>0</v>
      </c>
      <c r="CS102" s="20">
        <v>3260</v>
      </c>
      <c r="CT102" s="20">
        <v>0</v>
      </c>
      <c r="CU102" s="20">
        <v>39631.4</v>
      </c>
      <c r="CV102" s="28">
        <f>'FY21 Final Initial $$'!CV102/'FY21 FTE'!CV$120</f>
        <v>0</v>
      </c>
      <c r="CW102" s="28">
        <f>'FY21 Final Initial $$'!CW102/'FY21 FTE'!CW$120</f>
        <v>0</v>
      </c>
      <c r="CX102" s="20">
        <v>0</v>
      </c>
      <c r="CY102" s="28">
        <f>'FY21 Final Initial $$'!CY102/'FY21 FTE'!CY$120</f>
        <v>0</v>
      </c>
      <c r="CZ102" s="20">
        <v>0</v>
      </c>
      <c r="DA102" s="20">
        <v>0</v>
      </c>
      <c r="DB102" s="20">
        <v>51300</v>
      </c>
      <c r="DC102" s="20">
        <v>97449.754481902492</v>
      </c>
      <c r="DD102" s="20">
        <v>0</v>
      </c>
      <c r="DE102" s="20">
        <v>0</v>
      </c>
      <c r="DF102" s="20">
        <v>0</v>
      </c>
      <c r="DG102" s="20">
        <v>0</v>
      </c>
      <c r="DH102" s="28">
        <f>'FY21 Final Initial $$'!DH102/'FY21 FTE'!DH$120</f>
        <v>0</v>
      </c>
      <c r="DI102" s="20"/>
      <c r="DJ102" s="20">
        <v>18000.000268220901</v>
      </c>
      <c r="DK102" s="22">
        <v>0</v>
      </c>
      <c r="DL102" s="20">
        <v>0</v>
      </c>
      <c r="DM102" s="20">
        <v>0</v>
      </c>
      <c r="DN102" s="20">
        <v>6622678.6862347508</v>
      </c>
      <c r="DO102" s="29">
        <f t="shared" si="6"/>
        <v>0</v>
      </c>
      <c r="DP102" s="29">
        <f t="shared" si="6"/>
        <v>0</v>
      </c>
      <c r="DQ102" s="29">
        <f t="shared" si="7"/>
        <v>23.299999999999997</v>
      </c>
      <c r="DR102" s="29">
        <f t="shared" si="8"/>
        <v>11.818181818181818</v>
      </c>
      <c r="DS102" s="29">
        <f t="shared" si="9"/>
        <v>3</v>
      </c>
    </row>
    <row r="103" spans="1:123" x14ac:dyDescent="0.25">
      <c r="A103" s="18">
        <v>324</v>
      </c>
      <c r="B103" t="s">
        <v>244</v>
      </c>
      <c r="C103" t="s">
        <v>150</v>
      </c>
      <c r="D103">
        <v>4</v>
      </c>
      <c r="E103">
        <v>522</v>
      </c>
      <c r="F103" s="19">
        <f t="shared" si="5"/>
        <v>0.42145593869731801</v>
      </c>
      <c r="G103">
        <v>220</v>
      </c>
      <c r="H103" s="28">
        <f>'FY21 Final Initial $$'!H103/'FY21 FTE'!H$120</f>
        <v>1</v>
      </c>
      <c r="I103" s="28">
        <f>'FY21 Final Initial $$'!I103/'FY21 FTE'!I$120</f>
        <v>1</v>
      </c>
      <c r="J103" s="28">
        <f>'FY21 Final Initial $$'!J103/'FY21 FTE'!J$120</f>
        <v>1.4</v>
      </c>
      <c r="K103" s="28">
        <f>'FY21 Final Initial $$'!K103/'FY21 FTE'!K$120</f>
        <v>1</v>
      </c>
      <c r="L103" s="28">
        <f>'FY21 Final Initial $$'!L103/'FY21 FTE'!L$120</f>
        <v>0</v>
      </c>
      <c r="M103" s="28">
        <f>'FY21 Final Initial $$'!M103/'FY21 FTE'!M$120</f>
        <v>1</v>
      </c>
      <c r="N103" s="28">
        <f>'FY21 Final Initial $$'!N103/'FY21 FTE'!N$120</f>
        <v>1</v>
      </c>
      <c r="O103" s="28">
        <f>'FY21 Final Initial $$'!O103/'FY21 FTE'!O$120</f>
        <v>1.3</v>
      </c>
      <c r="P103" s="28">
        <f>'FY21 Final Initial $$'!P103/'FY21 FTE'!P$120</f>
        <v>0</v>
      </c>
      <c r="Q103" s="28">
        <f>'FY21 Final Initial $$'!Q103/'FY21 FTE'!Q$120</f>
        <v>0</v>
      </c>
      <c r="R103" s="28">
        <f>'FY21 Final Initial $$'!R103/'FY21 FTE'!R$120</f>
        <v>0</v>
      </c>
      <c r="S103" s="28">
        <f>'FY21 Final Initial $$'!S103/'FY21 FTE'!S$120</f>
        <v>1</v>
      </c>
      <c r="T103" s="28">
        <f>'FY21 Final Initial $$'!T103/'FY21 FTE'!T$120</f>
        <v>1</v>
      </c>
      <c r="U103" s="28">
        <f>'FY21 Final Initial $$'!U103/'FY21 FTE'!U$120</f>
        <v>4</v>
      </c>
      <c r="V103" s="28">
        <f>'FY21 Final Initial $$'!V103/'FY21 FTE'!V$120</f>
        <v>1</v>
      </c>
      <c r="W103" s="28">
        <f>'FY21 Final Initial $$'!W103/'FY21 FTE'!W$120</f>
        <v>1</v>
      </c>
      <c r="X103" s="28">
        <f>'FY21 Final Initial $$'!X103/'FY21 FTE'!X$120</f>
        <v>1</v>
      </c>
      <c r="Y103" s="28">
        <f>'FY21 Final Initial $$'!Y103/'FY21 FTE'!Y$120</f>
        <v>1</v>
      </c>
      <c r="Z103" s="28">
        <f>'FY21 Final Initial $$'!Z103/'FY21 FTE'!Z$120</f>
        <v>1.5</v>
      </c>
      <c r="AA103" s="28">
        <f>'FY21 Final Initial $$'!AA103/'FY21 FTE'!AA$120</f>
        <v>0</v>
      </c>
      <c r="AB103" s="28">
        <f>'FY21 Final Initial $$'!AB103/'FY21 FTE'!AB$120</f>
        <v>2</v>
      </c>
      <c r="AC103" s="28">
        <f>'FY21 Final Initial $$'!AC103/'FY21 FTE'!AC$120</f>
        <v>2</v>
      </c>
      <c r="AD103" s="28">
        <f>'FY21 Final Initial $$'!AD103/'FY21 FTE'!AD$120</f>
        <v>2</v>
      </c>
      <c r="AE103" s="28">
        <f>'FY21 Final Initial $$'!AE103/'FY21 FTE'!AE$120</f>
        <v>2</v>
      </c>
      <c r="AF103" s="28">
        <f>'FY21 Final Initial $$'!AF103/'FY21 FTE'!AF$120</f>
        <v>2</v>
      </c>
      <c r="AG103" s="28">
        <f>'FY21 Final Initial $$'!AG103/'FY21 FTE'!AG$120</f>
        <v>2</v>
      </c>
      <c r="AH103" s="28">
        <f>'FY21 Final Initial $$'!AH103/'FY21 FTE'!AH$120</f>
        <v>3</v>
      </c>
      <c r="AI103" s="28">
        <f>'FY21 Final Initial $$'!AI103/'FY21 FTE'!AI$120</f>
        <v>3</v>
      </c>
      <c r="AJ103" s="28">
        <f>'FY21 Final Initial $$'!AJ103/'FY21 FTE'!AJ$120</f>
        <v>3</v>
      </c>
      <c r="AK103" s="28">
        <f>'FY21 Final Initial $$'!AK103/'FY21 FTE'!AK$120</f>
        <v>3</v>
      </c>
      <c r="AL103" s="28">
        <f>'FY21 Final Initial $$'!AL103/'FY21 FTE'!AL$120</f>
        <v>2</v>
      </c>
      <c r="AM103" s="28">
        <f>'FY21 Final Initial $$'!AM103/'FY21 FTE'!AM$120</f>
        <v>2</v>
      </c>
      <c r="AN103" s="28">
        <f>'FY21 Final Initial $$'!AN103/'FY21 FTE'!AN$120</f>
        <v>3.000000000000004</v>
      </c>
      <c r="AO103" s="28">
        <f>'FY21 Final Initial $$'!AO103/'FY21 FTE'!AO$120</f>
        <v>0</v>
      </c>
      <c r="AP103" s="28">
        <f>'FY21 Final Initial $$'!AP103/'FY21 FTE'!AP$120</f>
        <v>0</v>
      </c>
      <c r="AQ103" s="28">
        <f>'FY21 Final Initial $$'!AQ103/'FY21 FTE'!AQ$120</f>
        <v>2.9</v>
      </c>
      <c r="AR103" s="28">
        <f>'FY21 Final Initial $$'!AR103/'FY21 FTE'!AR$120</f>
        <v>0</v>
      </c>
      <c r="AS103" s="28">
        <f>'FY21 Final Initial $$'!AS103/'FY21 FTE'!AS$120</f>
        <v>0</v>
      </c>
      <c r="AT103" s="28">
        <f>'FY21 Final Initial $$'!AT103/'FY21 FTE'!AT$120</f>
        <v>0</v>
      </c>
      <c r="AU103" s="28">
        <f>'FY21 Final Initial $$'!AU103/'FY21 FTE'!AU$120</f>
        <v>0</v>
      </c>
      <c r="AV103" s="28">
        <f>'FY21 Final Initial $$'!AV103/'FY21 FTE'!AV$120</f>
        <v>0</v>
      </c>
      <c r="AW103" s="28">
        <f>'FY21 Final Initial $$'!AW103/'FY21 FTE'!AW$120</f>
        <v>0</v>
      </c>
      <c r="AX103" s="28">
        <f>'FY21 Final Initial $$'!AX103/'FY21 FTE'!AX$120</f>
        <v>0</v>
      </c>
      <c r="AY103" s="28">
        <f>'FY21 Final Initial $$'!AY103/'FY21 FTE'!AY$120</f>
        <v>1</v>
      </c>
      <c r="AZ103" s="28">
        <f>'FY21 Final Initial $$'!AZ103/'FY21 FTE'!AZ$120</f>
        <v>1</v>
      </c>
      <c r="BA103" s="28">
        <f>'FY21 Final Initial $$'!BA103/'FY21 FTE'!BA$120</f>
        <v>8</v>
      </c>
      <c r="BB103" s="28">
        <f>'FY21 Final Initial $$'!BB103/'FY21 FTE'!BB$120</f>
        <v>8</v>
      </c>
      <c r="BC103" s="28">
        <f>'FY21 Final Initial $$'!BC103/'FY21 FTE'!BC$120</f>
        <v>0</v>
      </c>
      <c r="BD103" s="28">
        <f>'FY21 Final Initial $$'!BD103/'FY21 FTE'!BD$120</f>
        <v>1</v>
      </c>
      <c r="BE103" s="28">
        <f>'FY21 Final Initial $$'!BE103/'FY21 FTE'!BE$120</f>
        <v>11</v>
      </c>
      <c r="BF103" s="28">
        <f>'FY21 Final Initial $$'!BF103/'FY21 FTE'!BF$120</f>
        <v>0</v>
      </c>
      <c r="BG103" s="28">
        <f>'FY21 Final Initial $$'!BG103/'FY21 FTE'!BG$120</f>
        <v>2</v>
      </c>
      <c r="BH103" s="28">
        <f>'FY21 Final Initial $$'!BH103/'FY21 FTE'!BH$120</f>
        <v>6</v>
      </c>
      <c r="BI103" s="28">
        <f>'FY21 Final Initial $$'!BI103/'FY21 FTE'!BI$120</f>
        <v>6</v>
      </c>
      <c r="BJ103" s="28">
        <f>'FY21 Final Initial $$'!BJ103/'FY21 FTE'!BJ$120</f>
        <v>0</v>
      </c>
      <c r="BK103" s="20">
        <v>0</v>
      </c>
      <c r="BL103" s="20"/>
      <c r="BM103" s="20"/>
      <c r="BN103" s="20">
        <v>226725.02</v>
      </c>
      <c r="BO103" s="20">
        <v>3750.91</v>
      </c>
      <c r="BP103" s="20">
        <v>0</v>
      </c>
      <c r="BQ103" s="28">
        <f>'FY21 Final Initial $$'!BQ103/'FY21 FTE'!BQ$120</f>
        <v>0</v>
      </c>
      <c r="BR103" s="28">
        <f>'FY21 Final Initial $$'!BR103/'FY21 FTE'!BR$120</f>
        <v>0</v>
      </c>
      <c r="BS103" s="28">
        <f>'FY21 Final Initial $$'!BS103/'FY21 FTE'!BS$120</f>
        <v>0</v>
      </c>
      <c r="BT103" s="28">
        <f>'FY21 Final Initial $$'!BT103/'FY21 FTE'!BT$120</f>
        <v>0</v>
      </c>
      <c r="BU103" s="28">
        <f>'FY21 Final Initial $$'!BU103/'FY21 FTE'!BU$120</f>
        <v>0</v>
      </c>
      <c r="BV103" s="28">
        <f>'FY21 Final Initial $$'!BV103/'FY21 FTE'!BV$120</f>
        <v>0</v>
      </c>
      <c r="BW103" s="28">
        <f>'FY21 Final Initial $$'!BW103/'FY21 FTE'!BW$120</f>
        <v>0</v>
      </c>
      <c r="BX103" s="20">
        <v>0</v>
      </c>
      <c r="BY103" s="20">
        <v>0</v>
      </c>
      <c r="BZ103" s="20">
        <v>0</v>
      </c>
      <c r="CA103" s="20">
        <v>0</v>
      </c>
      <c r="CB103" s="28">
        <f>'FY21 Final Initial $$'!CB103/'FY21 FTE'!CB$120</f>
        <v>0</v>
      </c>
      <c r="CC103" s="28">
        <f>'FY21 Final Initial $$'!CC103/'FY21 FTE'!CC$120</f>
        <v>0</v>
      </c>
      <c r="CD103" s="20">
        <v>0</v>
      </c>
      <c r="CE103" s="28">
        <f>'FY21 Final Initial $$'!CE103/'FY21 FTE'!CE$120</f>
        <v>0</v>
      </c>
      <c r="CF103" s="28">
        <f>'FY21 Final Initial $$'!CF103/'FY21 FTE'!CF$120</f>
        <v>0</v>
      </c>
      <c r="CG103" s="28">
        <f>'FY21 Final Initial $$'!CG103/'FY21 FTE'!CG$120</f>
        <v>0</v>
      </c>
      <c r="CH103" s="28">
        <f>'FY21 Final Initial $$'!CH103/'FY21 FTE'!CH$120</f>
        <v>0</v>
      </c>
      <c r="CI103" s="28">
        <f>'FY21 Final Initial $$'!CI103/'FY21 FTE'!CI$120</f>
        <v>0</v>
      </c>
      <c r="CJ103" s="28">
        <f>'FY21 Final Initial $$'!CJ103/'FY21 FTE'!CJ$120</f>
        <v>0</v>
      </c>
      <c r="CK103" s="28">
        <f>'FY21 Final Initial $$'!CK103/'FY21 FTE'!CK$120</f>
        <v>2</v>
      </c>
      <c r="CL103" s="28">
        <f>'FY21 Final Initial $$'!CL103/'FY21 FTE'!CL$120</f>
        <v>0</v>
      </c>
      <c r="CM103" s="20">
        <v>23000</v>
      </c>
      <c r="CN103" s="20">
        <v>5000</v>
      </c>
      <c r="CO103" s="20">
        <v>111843.51999999999</v>
      </c>
      <c r="CP103" s="20">
        <v>100000</v>
      </c>
      <c r="CQ103" s="28">
        <f>'FY21 Final Initial $$'!CQ103/'FY21 FTE'!CQ$120</f>
        <v>0</v>
      </c>
      <c r="CR103" s="20">
        <v>0</v>
      </c>
      <c r="CS103" s="20">
        <v>4400</v>
      </c>
      <c r="CT103" s="20">
        <v>0</v>
      </c>
      <c r="CU103" s="20">
        <v>32249.8</v>
      </c>
      <c r="CV103" s="28">
        <f>'FY21 Final Initial $$'!CV103/'FY21 FTE'!CV$120</f>
        <v>0</v>
      </c>
      <c r="CW103" s="28">
        <f>'FY21 Final Initial $$'!CW103/'FY21 FTE'!CW$120</f>
        <v>0</v>
      </c>
      <c r="CX103" s="20">
        <v>0</v>
      </c>
      <c r="CY103" s="28">
        <f>'FY21 Final Initial $$'!CY103/'FY21 FTE'!CY$120</f>
        <v>0</v>
      </c>
      <c r="CZ103" s="20">
        <v>0</v>
      </c>
      <c r="DA103" s="20">
        <v>0</v>
      </c>
      <c r="DB103" s="20">
        <v>52200</v>
      </c>
      <c r="DC103" s="20">
        <v>130364.67280435395</v>
      </c>
      <c r="DD103" s="20">
        <v>0</v>
      </c>
      <c r="DE103" s="20">
        <v>0</v>
      </c>
      <c r="DF103" s="20">
        <v>0</v>
      </c>
      <c r="DG103" s="20">
        <v>0</v>
      </c>
      <c r="DH103" s="28">
        <f>'FY21 Final Initial $$'!DH103/'FY21 FTE'!DH$120</f>
        <v>0</v>
      </c>
      <c r="DI103" s="20"/>
      <c r="DJ103" s="20">
        <v>38675.001346319914</v>
      </c>
      <c r="DK103" s="22">
        <v>0</v>
      </c>
      <c r="DL103" s="20">
        <v>0</v>
      </c>
      <c r="DM103" s="20">
        <v>0</v>
      </c>
      <c r="DN103" s="20">
        <v>8882913.5703838393</v>
      </c>
      <c r="DO103" s="29">
        <f t="shared" si="6"/>
        <v>9</v>
      </c>
      <c r="DP103" s="29">
        <f t="shared" si="6"/>
        <v>9</v>
      </c>
      <c r="DQ103" s="29">
        <f t="shared" si="7"/>
        <v>15.900000000000004</v>
      </c>
      <c r="DR103" s="29">
        <f t="shared" si="8"/>
        <v>23</v>
      </c>
      <c r="DS103" s="29">
        <f t="shared" si="9"/>
        <v>8</v>
      </c>
    </row>
    <row r="104" spans="1:123" x14ac:dyDescent="0.25">
      <c r="A104" s="18">
        <v>325</v>
      </c>
      <c r="B104" t="s">
        <v>245</v>
      </c>
      <c r="C104" t="s">
        <v>135</v>
      </c>
      <c r="D104">
        <v>7</v>
      </c>
      <c r="E104">
        <v>328</v>
      </c>
      <c r="F104" s="19">
        <f t="shared" si="5"/>
        <v>0.82621951219512191</v>
      </c>
      <c r="G104">
        <v>271</v>
      </c>
      <c r="H104" s="28">
        <f>'FY21 Final Initial $$'!H104/'FY21 FTE'!H$120</f>
        <v>1</v>
      </c>
      <c r="I104" s="28">
        <f>'FY21 Final Initial $$'!I104/'FY21 FTE'!I$120</f>
        <v>1</v>
      </c>
      <c r="J104" s="28">
        <f>'FY21 Final Initial $$'!J104/'FY21 FTE'!J$120</f>
        <v>0.8</v>
      </c>
      <c r="K104" s="28">
        <f>'FY21 Final Initial $$'!K104/'FY21 FTE'!K$120</f>
        <v>0</v>
      </c>
      <c r="L104" s="28">
        <f>'FY21 Final Initial $$'!L104/'FY21 FTE'!L$120</f>
        <v>0</v>
      </c>
      <c r="M104" s="28">
        <f>'FY21 Final Initial $$'!M104/'FY21 FTE'!M$120</f>
        <v>1</v>
      </c>
      <c r="N104" s="28">
        <f>'FY21 Final Initial $$'!N104/'FY21 FTE'!N$120</f>
        <v>1</v>
      </c>
      <c r="O104" s="28">
        <f>'FY21 Final Initial $$'!O104/'FY21 FTE'!O$120</f>
        <v>0</v>
      </c>
      <c r="P104" s="28">
        <f>'FY21 Final Initial $$'!P104/'FY21 FTE'!P$120</f>
        <v>0</v>
      </c>
      <c r="Q104" s="28">
        <f>'FY21 Final Initial $$'!Q104/'FY21 FTE'!Q$120</f>
        <v>0</v>
      </c>
      <c r="R104" s="28">
        <f>'FY21 Final Initial $$'!R104/'FY21 FTE'!R$120</f>
        <v>0</v>
      </c>
      <c r="S104" s="28">
        <f>'FY21 Final Initial $$'!S104/'FY21 FTE'!S$120</f>
        <v>1</v>
      </c>
      <c r="T104" s="28">
        <f>'FY21 Final Initial $$'!T104/'FY21 FTE'!T$120</f>
        <v>1</v>
      </c>
      <c r="U104" s="28">
        <f>'FY21 Final Initial $$'!U104/'FY21 FTE'!U$120</f>
        <v>2</v>
      </c>
      <c r="V104" s="28">
        <f>'FY21 Final Initial $$'!V104/'FY21 FTE'!V$120</f>
        <v>1</v>
      </c>
      <c r="W104" s="28">
        <f>'FY21 Final Initial $$'!W104/'FY21 FTE'!W$120</f>
        <v>1</v>
      </c>
      <c r="X104" s="28">
        <f>'FY21 Final Initial $$'!X104/'FY21 FTE'!X$120</f>
        <v>1</v>
      </c>
      <c r="Y104" s="28">
        <f>'FY21 Final Initial $$'!Y104/'FY21 FTE'!Y$120</f>
        <v>1</v>
      </c>
      <c r="Z104" s="28">
        <f>'FY21 Final Initial $$'!Z104/'FY21 FTE'!Z$120</f>
        <v>0</v>
      </c>
      <c r="AA104" s="28">
        <f>'FY21 Final Initial $$'!AA104/'FY21 FTE'!AA$120</f>
        <v>0</v>
      </c>
      <c r="AB104" s="28">
        <f>'FY21 Final Initial $$'!AB104/'FY21 FTE'!AB$120</f>
        <v>2</v>
      </c>
      <c r="AC104" s="28">
        <f>'FY21 Final Initial $$'!AC104/'FY21 FTE'!AC$120</f>
        <v>2</v>
      </c>
      <c r="AD104" s="28">
        <f>'FY21 Final Initial $$'!AD104/'FY21 FTE'!AD$120</f>
        <v>2</v>
      </c>
      <c r="AE104" s="28">
        <f>'FY21 Final Initial $$'!AE104/'FY21 FTE'!AE$120</f>
        <v>2</v>
      </c>
      <c r="AF104" s="28">
        <f>'FY21 Final Initial $$'!AF104/'FY21 FTE'!AF$120</f>
        <v>1</v>
      </c>
      <c r="AG104" s="28">
        <f>'FY21 Final Initial $$'!AG104/'FY21 FTE'!AG$120</f>
        <v>1</v>
      </c>
      <c r="AH104" s="28">
        <f>'FY21 Final Initial $$'!AH104/'FY21 FTE'!AH$120</f>
        <v>2</v>
      </c>
      <c r="AI104" s="28">
        <f>'FY21 Final Initial $$'!AI104/'FY21 FTE'!AI$120</f>
        <v>2</v>
      </c>
      <c r="AJ104" s="28">
        <f>'FY21 Final Initial $$'!AJ104/'FY21 FTE'!AJ$120</f>
        <v>2</v>
      </c>
      <c r="AK104" s="28">
        <f>'FY21 Final Initial $$'!AK104/'FY21 FTE'!AK$120</f>
        <v>2</v>
      </c>
      <c r="AL104" s="28">
        <f>'FY21 Final Initial $$'!AL104/'FY21 FTE'!AL$120</f>
        <v>2</v>
      </c>
      <c r="AM104" s="28">
        <f>'FY21 Final Initial $$'!AM104/'FY21 FTE'!AM$120</f>
        <v>2</v>
      </c>
      <c r="AN104" s="28">
        <f>'FY21 Final Initial $$'!AN104/'FY21 FTE'!AN$120</f>
        <v>2.0000000000000027</v>
      </c>
      <c r="AO104" s="28">
        <f>'FY21 Final Initial $$'!AO104/'FY21 FTE'!AO$120</f>
        <v>0</v>
      </c>
      <c r="AP104" s="28">
        <f>'FY21 Final Initial $$'!AP104/'FY21 FTE'!AP$120</f>
        <v>0</v>
      </c>
      <c r="AQ104" s="28">
        <f>'FY21 Final Initial $$'!AQ104/'FY21 FTE'!AQ$120</f>
        <v>0</v>
      </c>
      <c r="AR104" s="28">
        <f>'FY21 Final Initial $$'!AR104/'FY21 FTE'!AR$120</f>
        <v>0</v>
      </c>
      <c r="AS104" s="28">
        <f>'FY21 Final Initial $$'!AS104/'FY21 FTE'!AS$120</f>
        <v>0</v>
      </c>
      <c r="AT104" s="28">
        <f>'FY21 Final Initial $$'!AT104/'FY21 FTE'!AT$120</f>
        <v>0</v>
      </c>
      <c r="AU104" s="28">
        <f>'FY21 Final Initial $$'!AU104/'FY21 FTE'!AU$120</f>
        <v>0</v>
      </c>
      <c r="AV104" s="28">
        <f>'FY21 Final Initial $$'!AV104/'FY21 FTE'!AV$120</f>
        <v>0</v>
      </c>
      <c r="AW104" s="28">
        <f>'FY21 Final Initial $$'!AW104/'FY21 FTE'!AW$120</f>
        <v>0</v>
      </c>
      <c r="AX104" s="28">
        <f>'FY21 Final Initial $$'!AX104/'FY21 FTE'!AX$120</f>
        <v>0</v>
      </c>
      <c r="AY104" s="28">
        <f>'FY21 Final Initial $$'!AY104/'FY21 FTE'!AY$120</f>
        <v>0.5</v>
      </c>
      <c r="AZ104" s="28">
        <f>'FY21 Final Initial $$'!AZ104/'FY21 FTE'!AZ$120</f>
        <v>1</v>
      </c>
      <c r="BA104" s="28">
        <f>'FY21 Final Initial $$'!BA104/'FY21 FTE'!BA$120</f>
        <v>9</v>
      </c>
      <c r="BB104" s="28">
        <f>'FY21 Final Initial $$'!BB104/'FY21 FTE'!BB$120</f>
        <v>6</v>
      </c>
      <c r="BC104" s="28">
        <f>'FY21 Final Initial $$'!BC104/'FY21 FTE'!BC$120</f>
        <v>0</v>
      </c>
      <c r="BD104" s="28">
        <f>'FY21 Final Initial $$'!BD104/'FY21 FTE'!BD$120</f>
        <v>0</v>
      </c>
      <c r="BE104" s="28">
        <f>'FY21 Final Initial $$'!BE104/'FY21 FTE'!BE$120</f>
        <v>0.27272727272727271</v>
      </c>
      <c r="BF104" s="28">
        <f>'FY21 Final Initial $$'!BF104/'FY21 FTE'!BF$120</f>
        <v>0</v>
      </c>
      <c r="BG104" s="28">
        <f>'FY21 Final Initial $$'!BG104/'FY21 FTE'!BG$120</f>
        <v>0</v>
      </c>
      <c r="BH104" s="28">
        <f>'FY21 Final Initial $$'!BH104/'FY21 FTE'!BH$120</f>
        <v>3</v>
      </c>
      <c r="BI104" s="28">
        <f>'FY21 Final Initial $$'!BI104/'FY21 FTE'!BI$120</f>
        <v>3</v>
      </c>
      <c r="BJ104" s="28">
        <f>'FY21 Final Initial $$'!BJ104/'FY21 FTE'!BJ$120</f>
        <v>0</v>
      </c>
      <c r="BK104" s="20">
        <v>0</v>
      </c>
      <c r="BL104" s="20"/>
      <c r="BM104" s="20"/>
      <c r="BN104" s="20">
        <v>138933</v>
      </c>
      <c r="BO104" s="20">
        <v>2298.4899999999998</v>
      </c>
      <c r="BP104" s="20">
        <v>0</v>
      </c>
      <c r="BQ104" s="28">
        <f>'FY21 Final Initial $$'!BQ104/'FY21 FTE'!BQ$120</f>
        <v>0</v>
      </c>
      <c r="BR104" s="28">
        <f>'FY21 Final Initial $$'!BR104/'FY21 FTE'!BR$120</f>
        <v>0</v>
      </c>
      <c r="BS104" s="28">
        <f>'FY21 Final Initial $$'!BS104/'FY21 FTE'!BS$120</f>
        <v>0</v>
      </c>
      <c r="BT104" s="28">
        <f>'FY21 Final Initial $$'!BT104/'FY21 FTE'!BT$120</f>
        <v>0</v>
      </c>
      <c r="BU104" s="28">
        <f>'FY21 Final Initial $$'!BU104/'FY21 FTE'!BU$120</f>
        <v>1</v>
      </c>
      <c r="BV104" s="28">
        <f>'FY21 Final Initial $$'!BV104/'FY21 FTE'!BV$120</f>
        <v>0</v>
      </c>
      <c r="BW104" s="28">
        <f>'FY21 Final Initial $$'!BW104/'FY21 FTE'!BW$120</f>
        <v>0</v>
      </c>
      <c r="BX104" s="20">
        <v>0</v>
      </c>
      <c r="BY104" s="20">
        <v>0</v>
      </c>
      <c r="BZ104" s="20">
        <v>0</v>
      </c>
      <c r="CA104" s="20">
        <v>0</v>
      </c>
      <c r="CB104" s="28">
        <f>'FY21 Final Initial $$'!CB104/'FY21 FTE'!CB$120</f>
        <v>0</v>
      </c>
      <c r="CC104" s="28">
        <f>'FY21 Final Initial $$'!CC104/'FY21 FTE'!CC$120</f>
        <v>0</v>
      </c>
      <c r="CD104" s="20">
        <v>0</v>
      </c>
      <c r="CE104" s="28">
        <f>'FY21 Final Initial $$'!CE104/'FY21 FTE'!CE$120</f>
        <v>0</v>
      </c>
      <c r="CF104" s="28">
        <f>'FY21 Final Initial $$'!CF104/'FY21 FTE'!CF$120</f>
        <v>0</v>
      </c>
      <c r="CG104" s="28">
        <f>'FY21 Final Initial $$'!CG104/'FY21 FTE'!CG$120</f>
        <v>0</v>
      </c>
      <c r="CH104" s="28">
        <f>'FY21 Final Initial $$'!CH104/'FY21 FTE'!CH$120</f>
        <v>0</v>
      </c>
      <c r="CI104" s="28">
        <f>'FY21 Final Initial $$'!CI104/'FY21 FTE'!CI$120</f>
        <v>0</v>
      </c>
      <c r="CJ104" s="28">
        <f>'FY21 Final Initial $$'!CJ104/'FY21 FTE'!CJ$120</f>
        <v>0</v>
      </c>
      <c r="CK104" s="28">
        <f>'FY21 Final Initial $$'!CK104/'FY21 FTE'!CK$120</f>
        <v>0</v>
      </c>
      <c r="CL104" s="28">
        <f>'FY21 Final Initial $$'!CL104/'FY21 FTE'!CL$120</f>
        <v>0</v>
      </c>
      <c r="CM104" s="20">
        <v>0</v>
      </c>
      <c r="CN104" s="20">
        <v>0</v>
      </c>
      <c r="CO104" s="20">
        <v>55921.759999999995</v>
      </c>
      <c r="CP104" s="20">
        <v>0</v>
      </c>
      <c r="CQ104" s="28">
        <f>'FY21 Final Initial $$'!CQ104/'FY21 FTE'!CQ$120</f>
        <v>0</v>
      </c>
      <c r="CR104" s="20">
        <v>0</v>
      </c>
      <c r="CS104" s="20">
        <v>10840</v>
      </c>
      <c r="CT104" s="20">
        <v>0</v>
      </c>
      <c r="CU104" s="20">
        <v>19098.886075949369</v>
      </c>
      <c r="CV104" s="28">
        <f>'FY21 Final Initial $$'!CV104/'FY21 FTE'!CV$120</f>
        <v>0</v>
      </c>
      <c r="CW104" s="28">
        <f>'FY21 Final Initial $$'!CW104/'FY21 FTE'!CW$120</f>
        <v>0</v>
      </c>
      <c r="CX104" s="20">
        <v>0</v>
      </c>
      <c r="CY104" s="28">
        <f>'FY21 Final Initial $$'!CY104/'FY21 FTE'!CY$120</f>
        <v>0</v>
      </c>
      <c r="CZ104" s="20">
        <v>0</v>
      </c>
      <c r="DA104" s="20">
        <v>0</v>
      </c>
      <c r="DB104" s="20">
        <v>32800</v>
      </c>
      <c r="DC104" s="20">
        <v>76781.599339086999</v>
      </c>
      <c r="DD104" s="20">
        <v>0</v>
      </c>
      <c r="DE104" s="20">
        <v>0</v>
      </c>
      <c r="DF104" s="20">
        <v>13859</v>
      </c>
      <c r="DG104" s="20">
        <v>0</v>
      </c>
      <c r="DH104" s="28">
        <f>'FY21 Final Initial $$'!DH104/'FY21 FTE'!DH$120</f>
        <v>0</v>
      </c>
      <c r="DI104" s="20"/>
      <c r="DJ104" s="20">
        <v>28275.000048428774</v>
      </c>
      <c r="DK104" s="22">
        <v>0</v>
      </c>
      <c r="DL104" s="20">
        <v>0</v>
      </c>
      <c r="DM104" s="20">
        <v>200000</v>
      </c>
      <c r="DN104" s="20">
        <v>5541082.4433626505</v>
      </c>
      <c r="DO104" s="29">
        <f t="shared" si="6"/>
        <v>7</v>
      </c>
      <c r="DP104" s="29">
        <f t="shared" si="6"/>
        <v>7</v>
      </c>
      <c r="DQ104" s="29">
        <f t="shared" si="7"/>
        <v>10.000000000000004</v>
      </c>
      <c r="DR104" s="29">
        <f t="shared" si="8"/>
        <v>10.772727272727273</v>
      </c>
      <c r="DS104" s="29">
        <f t="shared" si="9"/>
        <v>6</v>
      </c>
    </row>
    <row r="105" spans="1:123" x14ac:dyDescent="0.25">
      <c r="A105" s="18">
        <v>326</v>
      </c>
      <c r="B105" t="s">
        <v>246</v>
      </c>
      <c r="C105" t="s">
        <v>135</v>
      </c>
      <c r="D105">
        <v>2</v>
      </c>
      <c r="E105">
        <v>331</v>
      </c>
      <c r="F105" s="19">
        <f t="shared" si="5"/>
        <v>0.44108761329305135</v>
      </c>
      <c r="G105">
        <v>146</v>
      </c>
      <c r="H105" s="28">
        <f>'FY21 Final Initial $$'!H105/'FY21 FTE'!H$120</f>
        <v>1</v>
      </c>
      <c r="I105" s="28">
        <f>'FY21 Final Initial $$'!I105/'FY21 FTE'!I$120</f>
        <v>1</v>
      </c>
      <c r="J105" s="28">
        <f>'FY21 Final Initial $$'!J105/'FY21 FTE'!J$120</f>
        <v>0.8</v>
      </c>
      <c r="K105" s="28">
        <f>'FY21 Final Initial $$'!K105/'FY21 FTE'!K$120</f>
        <v>0</v>
      </c>
      <c r="L105" s="28">
        <f>'FY21 Final Initial $$'!L105/'FY21 FTE'!L$120</f>
        <v>0</v>
      </c>
      <c r="M105" s="28">
        <f>'FY21 Final Initial $$'!M105/'FY21 FTE'!M$120</f>
        <v>1</v>
      </c>
      <c r="N105" s="28">
        <f>'FY21 Final Initial $$'!N105/'FY21 FTE'!N$120</f>
        <v>1</v>
      </c>
      <c r="O105" s="28">
        <f>'FY21 Final Initial $$'!O105/'FY21 FTE'!O$120</f>
        <v>0</v>
      </c>
      <c r="P105" s="28">
        <f>'FY21 Final Initial $$'!P105/'FY21 FTE'!P$120</f>
        <v>0</v>
      </c>
      <c r="Q105" s="28">
        <f>'FY21 Final Initial $$'!Q105/'FY21 FTE'!Q$120</f>
        <v>0</v>
      </c>
      <c r="R105" s="28">
        <f>'FY21 Final Initial $$'!R105/'FY21 FTE'!R$120</f>
        <v>0</v>
      </c>
      <c r="S105" s="28">
        <f>'FY21 Final Initial $$'!S105/'FY21 FTE'!S$120</f>
        <v>1</v>
      </c>
      <c r="T105" s="28">
        <f>'FY21 Final Initial $$'!T105/'FY21 FTE'!T$120</f>
        <v>1</v>
      </c>
      <c r="U105" s="28">
        <f>'FY21 Final Initial $$'!U105/'FY21 FTE'!U$120</f>
        <v>2</v>
      </c>
      <c r="V105" s="28">
        <f>'FY21 Final Initial $$'!V105/'FY21 FTE'!V$120</f>
        <v>1</v>
      </c>
      <c r="W105" s="28">
        <f>'FY21 Final Initial $$'!W105/'FY21 FTE'!W$120</f>
        <v>1</v>
      </c>
      <c r="X105" s="28">
        <f>'FY21 Final Initial $$'!X105/'FY21 FTE'!X$120</f>
        <v>1</v>
      </c>
      <c r="Y105" s="28">
        <f>'FY21 Final Initial $$'!Y105/'FY21 FTE'!Y$120</f>
        <v>1</v>
      </c>
      <c r="Z105" s="28">
        <f>'FY21 Final Initial $$'!Z105/'FY21 FTE'!Z$120</f>
        <v>0</v>
      </c>
      <c r="AA105" s="28">
        <f>'FY21 Final Initial $$'!AA105/'FY21 FTE'!AA$120</f>
        <v>0</v>
      </c>
      <c r="AB105" s="28">
        <f>'FY21 Final Initial $$'!AB105/'FY21 FTE'!AB$120</f>
        <v>0</v>
      </c>
      <c r="AC105" s="28">
        <f>'FY21 Final Initial $$'!AC105/'FY21 FTE'!AC$120</f>
        <v>0</v>
      </c>
      <c r="AD105" s="28">
        <f>'FY21 Final Initial $$'!AD105/'FY21 FTE'!AD$120</f>
        <v>5</v>
      </c>
      <c r="AE105" s="28">
        <f>'FY21 Final Initial $$'!AE105/'FY21 FTE'!AE$120</f>
        <v>5</v>
      </c>
      <c r="AF105" s="28">
        <f>'FY21 Final Initial $$'!AF105/'FY21 FTE'!AF$120</f>
        <v>0</v>
      </c>
      <c r="AG105" s="28">
        <f>'FY21 Final Initial $$'!AG105/'FY21 FTE'!AG$120</f>
        <v>0</v>
      </c>
      <c r="AH105" s="28">
        <f>'FY21 Final Initial $$'!AH105/'FY21 FTE'!AH$120</f>
        <v>2</v>
      </c>
      <c r="AI105" s="28">
        <f>'FY21 Final Initial $$'!AI105/'FY21 FTE'!AI$120</f>
        <v>2</v>
      </c>
      <c r="AJ105" s="28">
        <f>'FY21 Final Initial $$'!AJ105/'FY21 FTE'!AJ$120</f>
        <v>2</v>
      </c>
      <c r="AK105" s="28">
        <f>'FY21 Final Initial $$'!AK105/'FY21 FTE'!AK$120</f>
        <v>2</v>
      </c>
      <c r="AL105" s="28">
        <f>'FY21 Final Initial $$'!AL105/'FY21 FTE'!AL$120</f>
        <v>2</v>
      </c>
      <c r="AM105" s="28">
        <f>'FY21 Final Initial $$'!AM105/'FY21 FTE'!AM$120</f>
        <v>2</v>
      </c>
      <c r="AN105" s="28">
        <f>'FY21 Final Initial $$'!AN105/'FY21 FTE'!AN$120</f>
        <v>2.0000000000000027</v>
      </c>
      <c r="AO105" s="28">
        <f>'FY21 Final Initial $$'!AO105/'FY21 FTE'!AO$120</f>
        <v>0</v>
      </c>
      <c r="AP105" s="28">
        <f>'FY21 Final Initial $$'!AP105/'FY21 FTE'!AP$120</f>
        <v>0</v>
      </c>
      <c r="AQ105" s="28">
        <f>'FY21 Final Initial $$'!AQ105/'FY21 FTE'!AQ$120</f>
        <v>0</v>
      </c>
      <c r="AR105" s="28">
        <f>'FY21 Final Initial $$'!AR105/'FY21 FTE'!AR$120</f>
        <v>0</v>
      </c>
      <c r="AS105" s="28">
        <f>'FY21 Final Initial $$'!AS105/'FY21 FTE'!AS$120</f>
        <v>0</v>
      </c>
      <c r="AT105" s="28">
        <f>'FY21 Final Initial $$'!AT105/'FY21 FTE'!AT$120</f>
        <v>0</v>
      </c>
      <c r="AU105" s="28">
        <f>'FY21 Final Initial $$'!AU105/'FY21 FTE'!AU$120</f>
        <v>0</v>
      </c>
      <c r="AV105" s="28">
        <f>'FY21 Final Initial $$'!AV105/'FY21 FTE'!AV$120</f>
        <v>0</v>
      </c>
      <c r="AW105" s="28">
        <f>'FY21 Final Initial $$'!AW105/'FY21 FTE'!AW$120</f>
        <v>0</v>
      </c>
      <c r="AX105" s="28">
        <f>'FY21 Final Initial $$'!AX105/'FY21 FTE'!AX$120</f>
        <v>0</v>
      </c>
      <c r="AY105" s="28">
        <f>'FY21 Final Initial $$'!AY105/'FY21 FTE'!AY$120</f>
        <v>1</v>
      </c>
      <c r="AZ105" s="28">
        <f>'FY21 Final Initial $$'!AZ105/'FY21 FTE'!AZ$120</f>
        <v>1.5</v>
      </c>
      <c r="BA105" s="28">
        <f>'FY21 Final Initial $$'!BA105/'FY21 FTE'!BA$120</f>
        <v>3</v>
      </c>
      <c r="BB105" s="28">
        <f>'FY21 Final Initial $$'!BB105/'FY21 FTE'!BB$120</f>
        <v>0</v>
      </c>
      <c r="BC105" s="28">
        <f>'FY21 Final Initial $$'!BC105/'FY21 FTE'!BC$120</f>
        <v>0</v>
      </c>
      <c r="BD105" s="28">
        <f>'FY21 Final Initial $$'!BD105/'FY21 FTE'!BD$120</f>
        <v>0</v>
      </c>
      <c r="BE105" s="28">
        <f>'FY21 Final Initial $$'!BE105/'FY21 FTE'!BE$120</f>
        <v>8</v>
      </c>
      <c r="BF105" s="28">
        <f>'FY21 Final Initial $$'!BF105/'FY21 FTE'!BF$120</f>
        <v>0</v>
      </c>
      <c r="BG105" s="28">
        <f>'FY21 Final Initial $$'!BG105/'FY21 FTE'!BG$120</f>
        <v>1</v>
      </c>
      <c r="BH105" s="28">
        <f>'FY21 Final Initial $$'!BH105/'FY21 FTE'!BH$120</f>
        <v>4</v>
      </c>
      <c r="BI105" s="28">
        <f>'FY21 Final Initial $$'!BI105/'FY21 FTE'!BI$120</f>
        <v>3</v>
      </c>
      <c r="BJ105" s="28">
        <f>'FY21 Final Initial $$'!BJ105/'FY21 FTE'!BJ$120</f>
        <v>0</v>
      </c>
      <c r="BK105" s="20">
        <v>0</v>
      </c>
      <c r="BL105" s="20"/>
      <c r="BM105" s="20"/>
      <c r="BN105" s="20">
        <v>136375.95000000001</v>
      </c>
      <c r="BO105" s="20">
        <v>2256.19</v>
      </c>
      <c r="BP105" s="20">
        <v>0</v>
      </c>
      <c r="BQ105" s="28">
        <f>'FY21 Final Initial $$'!BQ105/'FY21 FTE'!BQ$120</f>
        <v>1</v>
      </c>
      <c r="BR105" s="28">
        <f>'FY21 Final Initial $$'!BR105/'FY21 FTE'!BR$120</f>
        <v>0</v>
      </c>
      <c r="BS105" s="28">
        <f>'FY21 Final Initial $$'!BS105/'FY21 FTE'!BS$120</f>
        <v>0</v>
      </c>
      <c r="BT105" s="28">
        <f>'FY21 Final Initial $$'!BT105/'FY21 FTE'!BT$120</f>
        <v>0</v>
      </c>
      <c r="BU105" s="28">
        <f>'FY21 Final Initial $$'!BU105/'FY21 FTE'!BU$120</f>
        <v>0</v>
      </c>
      <c r="BV105" s="28">
        <f>'FY21 Final Initial $$'!BV105/'FY21 FTE'!BV$120</f>
        <v>0</v>
      </c>
      <c r="BW105" s="28">
        <f>'FY21 Final Initial $$'!BW105/'FY21 FTE'!BW$120</f>
        <v>0</v>
      </c>
      <c r="BX105" s="20">
        <v>0</v>
      </c>
      <c r="BY105" s="20">
        <v>0</v>
      </c>
      <c r="BZ105" s="20">
        <v>0</v>
      </c>
      <c r="CA105" s="20">
        <v>0</v>
      </c>
      <c r="CB105" s="28">
        <f>'FY21 Final Initial $$'!CB105/'FY21 FTE'!CB$120</f>
        <v>0</v>
      </c>
      <c r="CC105" s="28">
        <f>'FY21 Final Initial $$'!CC105/'FY21 FTE'!CC$120</f>
        <v>0</v>
      </c>
      <c r="CD105" s="20">
        <v>0</v>
      </c>
      <c r="CE105" s="28">
        <f>'FY21 Final Initial $$'!CE105/'FY21 FTE'!CE$120</f>
        <v>0</v>
      </c>
      <c r="CF105" s="28">
        <f>'FY21 Final Initial $$'!CF105/'FY21 FTE'!CF$120</f>
        <v>0</v>
      </c>
      <c r="CG105" s="28">
        <f>'FY21 Final Initial $$'!CG105/'FY21 FTE'!CG$120</f>
        <v>0</v>
      </c>
      <c r="CH105" s="28">
        <f>'FY21 Final Initial $$'!CH105/'FY21 FTE'!CH$120</f>
        <v>0</v>
      </c>
      <c r="CI105" s="28">
        <f>'FY21 Final Initial $$'!CI105/'FY21 FTE'!CI$120</f>
        <v>0</v>
      </c>
      <c r="CJ105" s="28">
        <f>'FY21 Final Initial $$'!CJ105/'FY21 FTE'!CJ$120</f>
        <v>0</v>
      </c>
      <c r="CK105" s="28">
        <f>'FY21 Final Initial $$'!CK105/'FY21 FTE'!CK$120</f>
        <v>0</v>
      </c>
      <c r="CL105" s="28">
        <f>'FY21 Final Initial $$'!CL105/'FY21 FTE'!CL$120</f>
        <v>0</v>
      </c>
      <c r="CM105" s="20">
        <v>0</v>
      </c>
      <c r="CN105" s="20">
        <v>0</v>
      </c>
      <c r="CO105" s="20">
        <v>55921.759999999995</v>
      </c>
      <c r="CP105" s="20">
        <v>0</v>
      </c>
      <c r="CQ105" s="28">
        <f>'FY21 Final Initial $$'!CQ105/'FY21 FTE'!CQ$120</f>
        <v>0</v>
      </c>
      <c r="CR105" s="20">
        <v>0</v>
      </c>
      <c r="CS105" s="20">
        <v>2920</v>
      </c>
      <c r="CT105" s="20">
        <v>50400</v>
      </c>
      <c r="CU105" s="20">
        <v>18090.882352941175</v>
      </c>
      <c r="CV105" s="28">
        <f>'FY21 Final Initial $$'!CV105/'FY21 FTE'!CV$120</f>
        <v>0</v>
      </c>
      <c r="CW105" s="28">
        <f>'FY21 Final Initial $$'!CW105/'FY21 FTE'!CW$120</f>
        <v>0</v>
      </c>
      <c r="CX105" s="20">
        <v>0</v>
      </c>
      <c r="CY105" s="28">
        <f>'FY21 Final Initial $$'!CY105/'FY21 FTE'!CY$120</f>
        <v>0</v>
      </c>
      <c r="CZ105" s="20">
        <v>0</v>
      </c>
      <c r="DA105" s="20">
        <v>0</v>
      </c>
      <c r="DB105" s="20">
        <v>33100</v>
      </c>
      <c r="DC105" s="20">
        <v>82856.773956672958</v>
      </c>
      <c r="DD105" s="20">
        <v>0</v>
      </c>
      <c r="DE105" s="20">
        <v>0</v>
      </c>
      <c r="DF105" s="20">
        <v>0</v>
      </c>
      <c r="DG105" s="20">
        <v>20854</v>
      </c>
      <c r="DH105" s="28">
        <f>'FY21 Final Initial $$'!DH105/'FY21 FTE'!DH$120</f>
        <v>0</v>
      </c>
      <c r="DI105" s="20"/>
      <c r="DJ105" s="20">
        <v>10574.999872595072</v>
      </c>
      <c r="DK105" s="22">
        <v>0</v>
      </c>
      <c r="DL105" s="20">
        <v>0</v>
      </c>
      <c r="DM105" s="20">
        <v>0</v>
      </c>
      <c r="DN105" s="20">
        <v>5623894.0317519587</v>
      </c>
      <c r="DO105" s="29">
        <f t="shared" si="6"/>
        <v>7</v>
      </c>
      <c r="DP105" s="29">
        <f t="shared" si="6"/>
        <v>7</v>
      </c>
      <c r="DQ105" s="29">
        <f t="shared" si="7"/>
        <v>10.000000000000004</v>
      </c>
      <c r="DR105" s="29">
        <f t="shared" si="8"/>
        <v>14.5</v>
      </c>
      <c r="DS105" s="29">
        <f t="shared" si="9"/>
        <v>0</v>
      </c>
    </row>
    <row r="106" spans="1:123" x14ac:dyDescent="0.25">
      <c r="A106" s="18">
        <v>327</v>
      </c>
      <c r="B106" t="s">
        <v>247</v>
      </c>
      <c r="C106" t="s">
        <v>135</v>
      </c>
      <c r="D106">
        <v>4</v>
      </c>
      <c r="E106">
        <v>500</v>
      </c>
      <c r="F106" s="19">
        <f t="shared" si="5"/>
        <v>0.71399999999999997</v>
      </c>
      <c r="G106">
        <v>357</v>
      </c>
      <c r="H106" s="28">
        <f>'FY21 Final Initial $$'!H106/'FY21 FTE'!H$120</f>
        <v>1</v>
      </c>
      <c r="I106" s="28">
        <f>'FY21 Final Initial $$'!I106/'FY21 FTE'!I$120</f>
        <v>1</v>
      </c>
      <c r="J106" s="28">
        <f>'FY21 Final Initial $$'!J106/'FY21 FTE'!J$120</f>
        <v>1.3</v>
      </c>
      <c r="K106" s="28">
        <f>'FY21 Final Initial $$'!K106/'FY21 FTE'!K$120</f>
        <v>0</v>
      </c>
      <c r="L106" s="28">
        <f>'FY21 Final Initial $$'!L106/'FY21 FTE'!L$120</f>
        <v>0</v>
      </c>
      <c r="M106" s="28">
        <f>'FY21 Final Initial $$'!M106/'FY21 FTE'!M$120</f>
        <v>1</v>
      </c>
      <c r="N106" s="28">
        <f>'FY21 Final Initial $$'!N106/'FY21 FTE'!N$120</f>
        <v>1</v>
      </c>
      <c r="O106" s="28">
        <f>'FY21 Final Initial $$'!O106/'FY21 FTE'!O$120</f>
        <v>1.3</v>
      </c>
      <c r="P106" s="28">
        <f>'FY21 Final Initial $$'!P106/'FY21 FTE'!P$120</f>
        <v>0</v>
      </c>
      <c r="Q106" s="28">
        <f>'FY21 Final Initial $$'!Q106/'FY21 FTE'!Q$120</f>
        <v>0</v>
      </c>
      <c r="R106" s="28">
        <f>'FY21 Final Initial $$'!R106/'FY21 FTE'!R$120</f>
        <v>0</v>
      </c>
      <c r="S106" s="28">
        <f>'FY21 Final Initial $$'!S106/'FY21 FTE'!S$120</f>
        <v>1</v>
      </c>
      <c r="T106" s="28">
        <f>'FY21 Final Initial $$'!T106/'FY21 FTE'!T$120</f>
        <v>1</v>
      </c>
      <c r="U106" s="28">
        <f>'FY21 Final Initial $$'!U106/'FY21 FTE'!U$120</f>
        <v>2</v>
      </c>
      <c r="V106" s="28">
        <f>'FY21 Final Initial $$'!V106/'FY21 FTE'!V$120</f>
        <v>1</v>
      </c>
      <c r="W106" s="28">
        <f>'FY21 Final Initial $$'!W106/'FY21 FTE'!W$120</f>
        <v>1</v>
      </c>
      <c r="X106" s="28">
        <f>'FY21 Final Initial $$'!X106/'FY21 FTE'!X$120</f>
        <v>1</v>
      </c>
      <c r="Y106" s="28">
        <f>'FY21 Final Initial $$'!Y106/'FY21 FTE'!Y$120</f>
        <v>1</v>
      </c>
      <c r="Z106" s="28">
        <f>'FY21 Final Initial $$'!Z106/'FY21 FTE'!Z$120</f>
        <v>1.5</v>
      </c>
      <c r="AA106" s="28">
        <f>'FY21 Final Initial $$'!AA106/'FY21 FTE'!AA$120</f>
        <v>0</v>
      </c>
      <c r="AB106" s="28">
        <f>'FY21 Final Initial $$'!AB106/'FY21 FTE'!AB$120</f>
        <v>3</v>
      </c>
      <c r="AC106" s="28">
        <f>'FY21 Final Initial $$'!AC106/'FY21 FTE'!AC$120</f>
        <v>3</v>
      </c>
      <c r="AD106" s="28">
        <f>'FY21 Final Initial $$'!AD106/'FY21 FTE'!AD$120</f>
        <v>1</v>
      </c>
      <c r="AE106" s="28">
        <f>'FY21 Final Initial $$'!AE106/'FY21 FTE'!AE$120</f>
        <v>1</v>
      </c>
      <c r="AF106" s="28">
        <f>'FY21 Final Initial $$'!AF106/'FY21 FTE'!AF$120</f>
        <v>3</v>
      </c>
      <c r="AG106" s="28">
        <f>'FY21 Final Initial $$'!AG106/'FY21 FTE'!AG$120</f>
        <v>3</v>
      </c>
      <c r="AH106" s="28">
        <f>'FY21 Final Initial $$'!AH106/'FY21 FTE'!AH$120</f>
        <v>4</v>
      </c>
      <c r="AI106" s="28">
        <f>'FY21 Final Initial $$'!AI106/'FY21 FTE'!AI$120</f>
        <v>4</v>
      </c>
      <c r="AJ106" s="28">
        <f>'FY21 Final Initial $$'!AJ106/'FY21 FTE'!AJ$120</f>
        <v>3</v>
      </c>
      <c r="AK106" s="28">
        <f>'FY21 Final Initial $$'!AK106/'FY21 FTE'!AK$120</f>
        <v>3</v>
      </c>
      <c r="AL106" s="28">
        <f>'FY21 Final Initial $$'!AL106/'FY21 FTE'!AL$120</f>
        <v>3</v>
      </c>
      <c r="AM106" s="28">
        <f>'FY21 Final Initial $$'!AM106/'FY21 FTE'!AM$120</f>
        <v>3</v>
      </c>
      <c r="AN106" s="28">
        <f>'FY21 Final Initial $$'!AN106/'FY21 FTE'!AN$120</f>
        <v>3.000000000000004</v>
      </c>
      <c r="AO106" s="28">
        <f>'FY21 Final Initial $$'!AO106/'FY21 FTE'!AO$120</f>
        <v>0</v>
      </c>
      <c r="AP106" s="28">
        <f>'FY21 Final Initial $$'!AP106/'FY21 FTE'!AP$120</f>
        <v>0</v>
      </c>
      <c r="AQ106" s="28">
        <f>'FY21 Final Initial $$'!AQ106/'FY21 FTE'!AQ$120</f>
        <v>0</v>
      </c>
      <c r="AR106" s="28">
        <f>'FY21 Final Initial $$'!AR106/'FY21 FTE'!AR$120</f>
        <v>0</v>
      </c>
      <c r="AS106" s="28">
        <f>'FY21 Final Initial $$'!AS106/'FY21 FTE'!AS$120</f>
        <v>0</v>
      </c>
      <c r="AT106" s="28">
        <f>'FY21 Final Initial $$'!AT106/'FY21 FTE'!AT$120</f>
        <v>0</v>
      </c>
      <c r="AU106" s="28">
        <f>'FY21 Final Initial $$'!AU106/'FY21 FTE'!AU$120</f>
        <v>0</v>
      </c>
      <c r="AV106" s="28">
        <f>'FY21 Final Initial $$'!AV106/'FY21 FTE'!AV$120</f>
        <v>0</v>
      </c>
      <c r="AW106" s="28">
        <f>'FY21 Final Initial $$'!AW106/'FY21 FTE'!AW$120</f>
        <v>0</v>
      </c>
      <c r="AX106" s="28">
        <f>'FY21 Final Initial $$'!AX106/'FY21 FTE'!AX$120</f>
        <v>0</v>
      </c>
      <c r="AY106" s="28">
        <f>'FY21 Final Initial $$'!AY106/'FY21 FTE'!AY$120</f>
        <v>1</v>
      </c>
      <c r="AZ106" s="28">
        <f>'FY21 Final Initial $$'!AZ106/'FY21 FTE'!AZ$120</f>
        <v>4</v>
      </c>
      <c r="BA106" s="28">
        <f>'FY21 Final Initial $$'!BA106/'FY21 FTE'!BA$120</f>
        <v>6</v>
      </c>
      <c r="BB106" s="28">
        <f>'FY21 Final Initial $$'!BB106/'FY21 FTE'!BB$120</f>
        <v>1</v>
      </c>
      <c r="BC106" s="28">
        <f>'FY21 Final Initial $$'!BC106/'FY21 FTE'!BC$120</f>
        <v>1</v>
      </c>
      <c r="BD106" s="28">
        <f>'FY21 Final Initial $$'!BD106/'FY21 FTE'!BD$120</f>
        <v>0</v>
      </c>
      <c r="BE106" s="28">
        <f>'FY21 Final Initial $$'!BE106/'FY21 FTE'!BE$120</f>
        <v>15</v>
      </c>
      <c r="BF106" s="28">
        <f>'FY21 Final Initial $$'!BF106/'FY21 FTE'!BF$120</f>
        <v>0</v>
      </c>
      <c r="BG106" s="28">
        <f>'FY21 Final Initial $$'!BG106/'FY21 FTE'!BG$120</f>
        <v>3</v>
      </c>
      <c r="BH106" s="28">
        <f>'FY21 Final Initial $$'!BH106/'FY21 FTE'!BH$120</f>
        <v>5</v>
      </c>
      <c r="BI106" s="28">
        <f>'FY21 Final Initial $$'!BI106/'FY21 FTE'!BI$120</f>
        <v>3</v>
      </c>
      <c r="BJ106" s="28">
        <f>'FY21 Final Initial $$'!BJ106/'FY21 FTE'!BJ$120</f>
        <v>0</v>
      </c>
      <c r="BK106" s="20">
        <v>0</v>
      </c>
      <c r="BL106" s="20"/>
      <c r="BM106" s="20"/>
      <c r="BN106" s="20">
        <v>240788.79</v>
      </c>
      <c r="BO106" s="20">
        <v>3983.58</v>
      </c>
      <c r="BP106" s="20">
        <v>0</v>
      </c>
      <c r="BQ106" s="28">
        <f>'FY21 Final Initial $$'!BQ106/'FY21 FTE'!BQ$120</f>
        <v>0</v>
      </c>
      <c r="BR106" s="28">
        <f>'FY21 Final Initial $$'!BR106/'FY21 FTE'!BR$120</f>
        <v>0</v>
      </c>
      <c r="BS106" s="28">
        <f>'FY21 Final Initial $$'!BS106/'FY21 FTE'!BS$120</f>
        <v>0</v>
      </c>
      <c r="BT106" s="28">
        <f>'FY21 Final Initial $$'!BT106/'FY21 FTE'!BT$120</f>
        <v>0</v>
      </c>
      <c r="BU106" s="28">
        <f>'FY21 Final Initial $$'!BU106/'FY21 FTE'!BU$120</f>
        <v>0</v>
      </c>
      <c r="BV106" s="28">
        <f>'FY21 Final Initial $$'!BV106/'FY21 FTE'!BV$120</f>
        <v>0</v>
      </c>
      <c r="BW106" s="28">
        <f>'FY21 Final Initial $$'!BW106/'FY21 FTE'!BW$120</f>
        <v>0</v>
      </c>
      <c r="BX106" s="20">
        <v>0</v>
      </c>
      <c r="BY106" s="20">
        <v>0</v>
      </c>
      <c r="BZ106" s="20">
        <v>0</v>
      </c>
      <c r="CA106" s="20">
        <v>0</v>
      </c>
      <c r="CB106" s="28">
        <f>'FY21 Final Initial $$'!CB106/'FY21 FTE'!CB$120</f>
        <v>0</v>
      </c>
      <c r="CC106" s="28">
        <f>'FY21 Final Initial $$'!CC106/'FY21 FTE'!CC$120</f>
        <v>0</v>
      </c>
      <c r="CD106" s="20">
        <v>0</v>
      </c>
      <c r="CE106" s="28">
        <f>'FY21 Final Initial $$'!CE106/'FY21 FTE'!CE$120</f>
        <v>0</v>
      </c>
      <c r="CF106" s="28">
        <f>'FY21 Final Initial $$'!CF106/'FY21 FTE'!CF$120</f>
        <v>0</v>
      </c>
      <c r="CG106" s="28">
        <f>'FY21 Final Initial $$'!CG106/'FY21 FTE'!CG$120</f>
        <v>0</v>
      </c>
      <c r="CH106" s="28">
        <f>'FY21 Final Initial $$'!CH106/'FY21 FTE'!CH$120</f>
        <v>0</v>
      </c>
      <c r="CI106" s="28">
        <f>'FY21 Final Initial $$'!CI106/'FY21 FTE'!CI$120</f>
        <v>0</v>
      </c>
      <c r="CJ106" s="28">
        <f>'FY21 Final Initial $$'!CJ106/'FY21 FTE'!CJ$120</f>
        <v>0</v>
      </c>
      <c r="CK106" s="28">
        <f>'FY21 Final Initial $$'!CK106/'FY21 FTE'!CK$120</f>
        <v>0</v>
      </c>
      <c r="CL106" s="28">
        <f>'FY21 Final Initial $$'!CL106/'FY21 FTE'!CL$120</f>
        <v>0</v>
      </c>
      <c r="CM106" s="20">
        <v>0</v>
      </c>
      <c r="CN106" s="20">
        <v>0</v>
      </c>
      <c r="CO106" s="20">
        <v>111843.51999999999</v>
      </c>
      <c r="CP106" s="20">
        <v>0</v>
      </c>
      <c r="CQ106" s="28">
        <f>'FY21 Final Initial $$'!CQ106/'FY21 FTE'!CQ$120</f>
        <v>0</v>
      </c>
      <c r="CR106" s="20">
        <v>0</v>
      </c>
      <c r="CS106" s="20">
        <v>7140</v>
      </c>
      <c r="CT106" s="20">
        <v>478080</v>
      </c>
      <c r="CU106" s="20">
        <v>25451.16129032258</v>
      </c>
      <c r="CV106" s="28">
        <f>'FY21 Final Initial $$'!CV106/'FY21 FTE'!CV$120</f>
        <v>0</v>
      </c>
      <c r="CW106" s="28">
        <f>'FY21 Final Initial $$'!CW106/'FY21 FTE'!CW$120</f>
        <v>0</v>
      </c>
      <c r="CX106" s="20">
        <v>0</v>
      </c>
      <c r="CY106" s="28">
        <f>'FY21 Final Initial $$'!CY106/'FY21 FTE'!CY$120</f>
        <v>0</v>
      </c>
      <c r="CZ106" s="20">
        <v>0</v>
      </c>
      <c r="DA106" s="20">
        <v>0</v>
      </c>
      <c r="DB106" s="20">
        <v>50000</v>
      </c>
      <c r="DC106" s="20">
        <v>138176.3488931657</v>
      </c>
      <c r="DD106" s="20">
        <v>0</v>
      </c>
      <c r="DE106" s="20">
        <v>0</v>
      </c>
      <c r="DF106" s="20">
        <v>0</v>
      </c>
      <c r="DG106" s="20">
        <v>0</v>
      </c>
      <c r="DH106" s="28">
        <f>'FY21 Final Initial $$'!DH106/'FY21 FTE'!DH$120</f>
        <v>0</v>
      </c>
      <c r="DI106" s="20"/>
      <c r="DJ106" s="20">
        <v>26675.000512227416</v>
      </c>
      <c r="DK106" s="22">
        <v>0</v>
      </c>
      <c r="DL106" s="20">
        <v>336204.08041750058</v>
      </c>
      <c r="DM106" s="20">
        <v>100000</v>
      </c>
      <c r="DN106" s="20">
        <v>9747944.3999433797</v>
      </c>
      <c r="DO106" s="29">
        <f t="shared" si="6"/>
        <v>11</v>
      </c>
      <c r="DP106" s="29">
        <f t="shared" si="6"/>
        <v>11</v>
      </c>
      <c r="DQ106" s="29">
        <f t="shared" si="7"/>
        <v>15.000000000000004</v>
      </c>
      <c r="DR106" s="29">
        <f t="shared" si="8"/>
        <v>29</v>
      </c>
      <c r="DS106" s="29">
        <f t="shared" si="9"/>
        <v>1</v>
      </c>
    </row>
    <row r="107" spans="1:123" x14ac:dyDescent="0.25">
      <c r="A107" s="18">
        <v>328</v>
      </c>
      <c r="B107" t="s">
        <v>248</v>
      </c>
      <c r="C107" t="s">
        <v>135</v>
      </c>
      <c r="D107">
        <v>1</v>
      </c>
      <c r="E107">
        <v>593</v>
      </c>
      <c r="F107" s="19">
        <f t="shared" si="5"/>
        <v>0.55649241146711637</v>
      </c>
      <c r="G107">
        <v>330</v>
      </c>
      <c r="H107" s="28">
        <f>'FY21 Final Initial $$'!H107/'FY21 FTE'!H$120</f>
        <v>1</v>
      </c>
      <c r="I107" s="28">
        <f>'FY21 Final Initial $$'!I107/'FY21 FTE'!I$120</f>
        <v>1</v>
      </c>
      <c r="J107" s="28">
        <f>'FY21 Final Initial $$'!J107/'FY21 FTE'!J$120</f>
        <v>1.5</v>
      </c>
      <c r="K107" s="28">
        <f>'FY21 Final Initial $$'!K107/'FY21 FTE'!K$120</f>
        <v>0</v>
      </c>
      <c r="L107" s="28">
        <f>'FY21 Final Initial $$'!L107/'FY21 FTE'!L$120</f>
        <v>0</v>
      </c>
      <c r="M107" s="28">
        <f>'FY21 Final Initial $$'!M107/'FY21 FTE'!M$120</f>
        <v>1</v>
      </c>
      <c r="N107" s="28">
        <f>'FY21 Final Initial $$'!N107/'FY21 FTE'!N$120</f>
        <v>1</v>
      </c>
      <c r="O107" s="28">
        <f>'FY21 Final Initial $$'!O107/'FY21 FTE'!O$120</f>
        <v>1.5</v>
      </c>
      <c r="P107" s="28">
        <f>'FY21 Final Initial $$'!P107/'FY21 FTE'!P$120</f>
        <v>0</v>
      </c>
      <c r="Q107" s="28">
        <f>'FY21 Final Initial $$'!Q107/'FY21 FTE'!Q$120</f>
        <v>0</v>
      </c>
      <c r="R107" s="28">
        <f>'FY21 Final Initial $$'!R107/'FY21 FTE'!R$120</f>
        <v>0</v>
      </c>
      <c r="S107" s="28">
        <f>'FY21 Final Initial $$'!S107/'FY21 FTE'!S$120</f>
        <v>1</v>
      </c>
      <c r="T107" s="28">
        <f>'FY21 Final Initial $$'!T107/'FY21 FTE'!T$120</f>
        <v>1</v>
      </c>
      <c r="U107" s="28">
        <f>'FY21 Final Initial $$'!U107/'FY21 FTE'!U$120</f>
        <v>3</v>
      </c>
      <c r="V107" s="28">
        <f>'FY21 Final Initial $$'!V107/'FY21 FTE'!V$120</f>
        <v>1</v>
      </c>
      <c r="W107" s="28">
        <f>'FY21 Final Initial $$'!W107/'FY21 FTE'!W$120</f>
        <v>1</v>
      </c>
      <c r="X107" s="28">
        <f>'FY21 Final Initial $$'!X107/'FY21 FTE'!X$120</f>
        <v>1</v>
      </c>
      <c r="Y107" s="28">
        <f>'FY21 Final Initial $$'!Y107/'FY21 FTE'!Y$120</f>
        <v>1</v>
      </c>
      <c r="Z107" s="28">
        <f>'FY21 Final Initial $$'!Z107/'FY21 FTE'!Z$120</f>
        <v>1.5</v>
      </c>
      <c r="AA107" s="28">
        <f>'FY21 Final Initial $$'!AA107/'FY21 FTE'!AA$120</f>
        <v>0</v>
      </c>
      <c r="AB107" s="28">
        <f>'FY21 Final Initial $$'!AB107/'FY21 FTE'!AB$120</f>
        <v>0</v>
      </c>
      <c r="AC107" s="28">
        <f>'FY21 Final Initial $$'!AC107/'FY21 FTE'!AC$120</f>
        <v>0</v>
      </c>
      <c r="AD107" s="28">
        <f>'FY21 Final Initial $$'!AD107/'FY21 FTE'!AD$120</f>
        <v>4</v>
      </c>
      <c r="AE107" s="28">
        <f>'FY21 Final Initial $$'!AE107/'FY21 FTE'!AE$120</f>
        <v>4</v>
      </c>
      <c r="AF107" s="28">
        <f>'FY21 Final Initial $$'!AF107/'FY21 FTE'!AF$120</f>
        <v>0</v>
      </c>
      <c r="AG107" s="28">
        <f>'FY21 Final Initial $$'!AG107/'FY21 FTE'!AG$120</f>
        <v>0</v>
      </c>
      <c r="AH107" s="28">
        <f>'FY21 Final Initial $$'!AH107/'FY21 FTE'!AH$120</f>
        <v>4</v>
      </c>
      <c r="AI107" s="28">
        <f>'FY21 Final Initial $$'!AI107/'FY21 FTE'!AI$120</f>
        <v>4</v>
      </c>
      <c r="AJ107" s="28">
        <f>'FY21 Final Initial $$'!AJ107/'FY21 FTE'!AJ$120</f>
        <v>4</v>
      </c>
      <c r="AK107" s="28">
        <f>'FY21 Final Initial $$'!AK107/'FY21 FTE'!AK$120</f>
        <v>4</v>
      </c>
      <c r="AL107" s="28">
        <f>'FY21 Final Initial $$'!AL107/'FY21 FTE'!AL$120</f>
        <v>4</v>
      </c>
      <c r="AM107" s="28">
        <f>'FY21 Final Initial $$'!AM107/'FY21 FTE'!AM$120</f>
        <v>3</v>
      </c>
      <c r="AN107" s="28">
        <f>'FY21 Final Initial $$'!AN107/'FY21 FTE'!AN$120</f>
        <v>4.0000000000000053</v>
      </c>
      <c r="AO107" s="28">
        <f>'FY21 Final Initial $$'!AO107/'FY21 FTE'!AO$120</f>
        <v>0</v>
      </c>
      <c r="AP107" s="28">
        <f>'FY21 Final Initial $$'!AP107/'FY21 FTE'!AP$120</f>
        <v>0</v>
      </c>
      <c r="AQ107" s="28">
        <f>'FY21 Final Initial $$'!AQ107/'FY21 FTE'!AQ$120</f>
        <v>0</v>
      </c>
      <c r="AR107" s="28">
        <f>'FY21 Final Initial $$'!AR107/'FY21 FTE'!AR$120</f>
        <v>0</v>
      </c>
      <c r="AS107" s="28">
        <f>'FY21 Final Initial $$'!AS107/'FY21 FTE'!AS$120</f>
        <v>0</v>
      </c>
      <c r="AT107" s="28">
        <f>'FY21 Final Initial $$'!AT107/'FY21 FTE'!AT$120</f>
        <v>0</v>
      </c>
      <c r="AU107" s="28">
        <f>'FY21 Final Initial $$'!AU107/'FY21 FTE'!AU$120</f>
        <v>0</v>
      </c>
      <c r="AV107" s="28">
        <f>'FY21 Final Initial $$'!AV107/'FY21 FTE'!AV$120</f>
        <v>0</v>
      </c>
      <c r="AW107" s="28">
        <f>'FY21 Final Initial $$'!AW107/'FY21 FTE'!AW$120</f>
        <v>0</v>
      </c>
      <c r="AX107" s="28">
        <f>'FY21 Final Initial $$'!AX107/'FY21 FTE'!AX$120</f>
        <v>0</v>
      </c>
      <c r="AY107" s="28">
        <f>'FY21 Final Initial $$'!AY107/'FY21 FTE'!AY$120</f>
        <v>1.5</v>
      </c>
      <c r="AZ107" s="28">
        <f>'FY21 Final Initial $$'!AZ107/'FY21 FTE'!AZ$120</f>
        <v>3</v>
      </c>
      <c r="BA107" s="28">
        <f>'FY21 Final Initial $$'!BA107/'FY21 FTE'!BA$120</f>
        <v>10</v>
      </c>
      <c r="BB107" s="28">
        <f>'FY21 Final Initial $$'!BB107/'FY21 FTE'!BB$120</f>
        <v>4</v>
      </c>
      <c r="BC107" s="28">
        <f>'FY21 Final Initial $$'!BC107/'FY21 FTE'!BC$120</f>
        <v>0</v>
      </c>
      <c r="BD107" s="28">
        <f>'FY21 Final Initial $$'!BD107/'FY21 FTE'!BD$120</f>
        <v>0</v>
      </c>
      <c r="BE107" s="28">
        <f>'FY21 Final Initial $$'!BE107/'FY21 FTE'!BE$120</f>
        <v>16</v>
      </c>
      <c r="BF107" s="28">
        <f>'FY21 Final Initial $$'!BF107/'FY21 FTE'!BF$120</f>
        <v>1</v>
      </c>
      <c r="BG107" s="28">
        <f>'FY21 Final Initial $$'!BG107/'FY21 FTE'!BG$120</f>
        <v>3</v>
      </c>
      <c r="BH107" s="28">
        <f>'FY21 Final Initial $$'!BH107/'FY21 FTE'!BH$120</f>
        <v>0</v>
      </c>
      <c r="BI107" s="28">
        <f>'FY21 Final Initial $$'!BI107/'FY21 FTE'!BI$120</f>
        <v>0</v>
      </c>
      <c r="BJ107" s="28">
        <f>'FY21 Final Initial $$'!BJ107/'FY21 FTE'!BJ$120</f>
        <v>0</v>
      </c>
      <c r="BK107" s="20">
        <v>0</v>
      </c>
      <c r="BL107" s="20"/>
      <c r="BM107" s="20"/>
      <c r="BN107" s="20">
        <v>240362.61</v>
      </c>
      <c r="BO107" s="20">
        <v>3976.53</v>
      </c>
      <c r="BP107" s="20">
        <v>0</v>
      </c>
      <c r="BQ107" s="28">
        <f>'FY21 Final Initial $$'!BQ107/'FY21 FTE'!BQ$120</f>
        <v>0</v>
      </c>
      <c r="BR107" s="28">
        <f>'FY21 Final Initial $$'!BR107/'FY21 FTE'!BR$120</f>
        <v>0</v>
      </c>
      <c r="BS107" s="28">
        <f>'FY21 Final Initial $$'!BS107/'FY21 FTE'!BS$120</f>
        <v>0</v>
      </c>
      <c r="BT107" s="28">
        <f>'FY21 Final Initial $$'!BT107/'FY21 FTE'!BT$120</f>
        <v>0</v>
      </c>
      <c r="BU107" s="28">
        <f>'FY21 Final Initial $$'!BU107/'FY21 FTE'!BU$120</f>
        <v>0</v>
      </c>
      <c r="BV107" s="28">
        <f>'FY21 Final Initial $$'!BV107/'FY21 FTE'!BV$120</f>
        <v>0</v>
      </c>
      <c r="BW107" s="28">
        <f>'FY21 Final Initial $$'!BW107/'FY21 FTE'!BW$120</f>
        <v>0</v>
      </c>
      <c r="BX107" s="20">
        <v>0</v>
      </c>
      <c r="BY107" s="20">
        <v>0</v>
      </c>
      <c r="BZ107" s="20">
        <v>0</v>
      </c>
      <c r="CA107" s="20">
        <v>0</v>
      </c>
      <c r="CB107" s="28">
        <f>'FY21 Final Initial $$'!CB107/'FY21 FTE'!CB$120</f>
        <v>0</v>
      </c>
      <c r="CC107" s="28">
        <f>'FY21 Final Initial $$'!CC107/'FY21 FTE'!CC$120</f>
        <v>0</v>
      </c>
      <c r="CD107" s="20">
        <v>0</v>
      </c>
      <c r="CE107" s="28">
        <f>'FY21 Final Initial $$'!CE107/'FY21 FTE'!CE$120</f>
        <v>0</v>
      </c>
      <c r="CF107" s="28">
        <f>'FY21 Final Initial $$'!CF107/'FY21 FTE'!CF$120</f>
        <v>0</v>
      </c>
      <c r="CG107" s="28">
        <f>'FY21 Final Initial $$'!CG107/'FY21 FTE'!CG$120</f>
        <v>0</v>
      </c>
      <c r="CH107" s="28">
        <f>'FY21 Final Initial $$'!CH107/'FY21 FTE'!CH$120</f>
        <v>0</v>
      </c>
      <c r="CI107" s="28">
        <f>'FY21 Final Initial $$'!CI107/'FY21 FTE'!CI$120</f>
        <v>0</v>
      </c>
      <c r="CJ107" s="28">
        <f>'FY21 Final Initial $$'!CJ107/'FY21 FTE'!CJ$120</f>
        <v>0</v>
      </c>
      <c r="CK107" s="28">
        <f>'FY21 Final Initial $$'!CK107/'FY21 FTE'!CK$120</f>
        <v>0</v>
      </c>
      <c r="CL107" s="28">
        <f>'FY21 Final Initial $$'!CL107/'FY21 FTE'!CL$120</f>
        <v>0</v>
      </c>
      <c r="CM107" s="20">
        <v>0</v>
      </c>
      <c r="CN107" s="20">
        <v>0</v>
      </c>
      <c r="CO107" s="20">
        <v>111843.51999999999</v>
      </c>
      <c r="CP107" s="20">
        <v>0</v>
      </c>
      <c r="CQ107" s="28">
        <f>'FY21 Final Initial $$'!CQ107/'FY21 FTE'!CQ$120</f>
        <v>0</v>
      </c>
      <c r="CR107" s="20">
        <v>0</v>
      </c>
      <c r="CS107" s="20">
        <v>6600</v>
      </c>
      <c r="CT107" s="20">
        <v>0</v>
      </c>
      <c r="CU107" s="20">
        <v>30204.911764705881</v>
      </c>
      <c r="CV107" s="28">
        <f>'FY21 Final Initial $$'!CV107/'FY21 FTE'!CV$120</f>
        <v>0</v>
      </c>
      <c r="CW107" s="28">
        <f>'FY21 Final Initial $$'!CW107/'FY21 FTE'!CW$120</f>
        <v>0</v>
      </c>
      <c r="CX107" s="20">
        <v>0</v>
      </c>
      <c r="CY107" s="28">
        <f>'FY21 Final Initial $$'!CY107/'FY21 FTE'!CY$120</f>
        <v>0</v>
      </c>
      <c r="CZ107" s="20">
        <v>0</v>
      </c>
      <c r="DA107" s="20">
        <v>0</v>
      </c>
      <c r="DB107" s="20">
        <v>59300</v>
      </c>
      <c r="DC107" s="20">
        <v>141495.69742018561</v>
      </c>
      <c r="DD107" s="20">
        <v>0</v>
      </c>
      <c r="DE107" s="20">
        <v>0</v>
      </c>
      <c r="DF107" s="20">
        <v>0</v>
      </c>
      <c r="DG107" s="20">
        <v>0</v>
      </c>
      <c r="DH107" s="28">
        <f>'FY21 Final Initial $$'!DH107/'FY21 FTE'!DH$120</f>
        <v>0</v>
      </c>
      <c r="DI107" s="20"/>
      <c r="DJ107" s="20">
        <v>33149.999898299575</v>
      </c>
      <c r="DK107" s="22">
        <v>0</v>
      </c>
      <c r="DL107" s="20">
        <v>0</v>
      </c>
      <c r="DM107" s="20">
        <v>0</v>
      </c>
      <c r="DN107" s="20">
        <v>9415485.9038773272</v>
      </c>
      <c r="DO107" s="29">
        <f t="shared" si="6"/>
        <v>8</v>
      </c>
      <c r="DP107" s="29">
        <f t="shared" si="6"/>
        <v>8</v>
      </c>
      <c r="DQ107" s="29">
        <f t="shared" si="7"/>
        <v>19.000000000000007</v>
      </c>
      <c r="DR107" s="29">
        <f t="shared" si="8"/>
        <v>33.5</v>
      </c>
      <c r="DS107" s="29">
        <f t="shared" si="9"/>
        <v>5</v>
      </c>
    </row>
    <row r="108" spans="1:123" x14ac:dyDescent="0.25">
      <c r="A108" s="18">
        <v>329</v>
      </c>
      <c r="B108" t="s">
        <v>249</v>
      </c>
      <c r="C108" t="s">
        <v>135</v>
      </c>
      <c r="D108">
        <v>8</v>
      </c>
      <c r="E108">
        <v>511</v>
      </c>
      <c r="F108" s="19">
        <f t="shared" si="5"/>
        <v>0.78864970645792565</v>
      </c>
      <c r="G108">
        <v>403</v>
      </c>
      <c r="H108" s="28">
        <f>'FY21 Final Initial $$'!H108/'FY21 FTE'!H$120</f>
        <v>1</v>
      </c>
      <c r="I108" s="28">
        <f>'FY21 Final Initial $$'!I108/'FY21 FTE'!I$120</f>
        <v>1</v>
      </c>
      <c r="J108" s="28">
        <f>'FY21 Final Initial $$'!J108/'FY21 FTE'!J$120</f>
        <v>1.3</v>
      </c>
      <c r="K108" s="28">
        <f>'FY21 Final Initial $$'!K108/'FY21 FTE'!K$120</f>
        <v>0</v>
      </c>
      <c r="L108" s="28">
        <f>'FY21 Final Initial $$'!L108/'FY21 FTE'!L$120</f>
        <v>0</v>
      </c>
      <c r="M108" s="28">
        <f>'FY21 Final Initial $$'!M108/'FY21 FTE'!M$120</f>
        <v>1</v>
      </c>
      <c r="N108" s="28">
        <f>'FY21 Final Initial $$'!N108/'FY21 FTE'!N$120</f>
        <v>1</v>
      </c>
      <c r="O108" s="28">
        <f>'FY21 Final Initial $$'!O108/'FY21 FTE'!O$120</f>
        <v>1.3</v>
      </c>
      <c r="P108" s="28">
        <f>'FY21 Final Initial $$'!P108/'FY21 FTE'!P$120</f>
        <v>0</v>
      </c>
      <c r="Q108" s="28">
        <f>'FY21 Final Initial $$'!Q108/'FY21 FTE'!Q$120</f>
        <v>0</v>
      </c>
      <c r="R108" s="28">
        <f>'FY21 Final Initial $$'!R108/'FY21 FTE'!R$120</f>
        <v>0</v>
      </c>
      <c r="S108" s="28">
        <f>'FY21 Final Initial $$'!S108/'FY21 FTE'!S$120</f>
        <v>1</v>
      </c>
      <c r="T108" s="28">
        <f>'FY21 Final Initial $$'!T108/'FY21 FTE'!T$120</f>
        <v>1</v>
      </c>
      <c r="U108" s="28">
        <f>'FY21 Final Initial $$'!U108/'FY21 FTE'!U$120</f>
        <v>3</v>
      </c>
      <c r="V108" s="28">
        <f>'FY21 Final Initial $$'!V108/'FY21 FTE'!V$120</f>
        <v>1</v>
      </c>
      <c r="W108" s="28">
        <f>'FY21 Final Initial $$'!W108/'FY21 FTE'!W$120</f>
        <v>1</v>
      </c>
      <c r="X108" s="28">
        <f>'FY21 Final Initial $$'!X108/'FY21 FTE'!X$120</f>
        <v>1</v>
      </c>
      <c r="Y108" s="28">
        <f>'FY21 Final Initial $$'!Y108/'FY21 FTE'!Y$120</f>
        <v>1</v>
      </c>
      <c r="Z108" s="28">
        <f>'FY21 Final Initial $$'!Z108/'FY21 FTE'!Z$120</f>
        <v>1.4999999999999973</v>
      </c>
      <c r="AA108" s="28">
        <f>'FY21 Final Initial $$'!AA108/'FY21 FTE'!AA$120</f>
        <v>0.5</v>
      </c>
      <c r="AB108" s="28">
        <f>'FY21 Final Initial $$'!AB108/'FY21 FTE'!AB$120</f>
        <v>2</v>
      </c>
      <c r="AC108" s="28">
        <f>'FY21 Final Initial $$'!AC108/'FY21 FTE'!AC$120</f>
        <v>2</v>
      </c>
      <c r="AD108" s="28">
        <f>'FY21 Final Initial $$'!AD108/'FY21 FTE'!AD$120</f>
        <v>1</v>
      </c>
      <c r="AE108" s="28">
        <f>'FY21 Final Initial $$'!AE108/'FY21 FTE'!AE$120</f>
        <v>1</v>
      </c>
      <c r="AF108" s="28">
        <f>'FY21 Final Initial $$'!AF108/'FY21 FTE'!AF$120</f>
        <v>2</v>
      </c>
      <c r="AG108" s="28">
        <f>'FY21 Final Initial $$'!AG108/'FY21 FTE'!AG$120</f>
        <v>2</v>
      </c>
      <c r="AH108" s="28">
        <f>'FY21 Final Initial $$'!AH108/'FY21 FTE'!AH$120</f>
        <v>3</v>
      </c>
      <c r="AI108" s="28">
        <f>'FY21 Final Initial $$'!AI108/'FY21 FTE'!AI$120</f>
        <v>3</v>
      </c>
      <c r="AJ108" s="28">
        <f>'FY21 Final Initial $$'!AJ108/'FY21 FTE'!AJ$120</f>
        <v>3</v>
      </c>
      <c r="AK108" s="28">
        <f>'FY21 Final Initial $$'!AK108/'FY21 FTE'!AK$120</f>
        <v>3</v>
      </c>
      <c r="AL108" s="28">
        <f>'FY21 Final Initial $$'!AL108/'FY21 FTE'!AL$120</f>
        <v>3</v>
      </c>
      <c r="AM108" s="28">
        <f>'FY21 Final Initial $$'!AM108/'FY21 FTE'!AM$120</f>
        <v>3</v>
      </c>
      <c r="AN108" s="28">
        <f>'FY21 Final Initial $$'!AN108/'FY21 FTE'!AN$120</f>
        <v>4.0000000000000053</v>
      </c>
      <c r="AO108" s="28">
        <f>'FY21 Final Initial $$'!AO108/'FY21 FTE'!AO$120</f>
        <v>0</v>
      </c>
      <c r="AP108" s="28">
        <f>'FY21 Final Initial $$'!AP108/'FY21 FTE'!AP$120</f>
        <v>0</v>
      </c>
      <c r="AQ108" s="28">
        <f>'FY21 Final Initial $$'!AQ108/'FY21 FTE'!AQ$120</f>
        <v>0</v>
      </c>
      <c r="AR108" s="28">
        <f>'FY21 Final Initial $$'!AR108/'FY21 FTE'!AR$120</f>
        <v>0</v>
      </c>
      <c r="AS108" s="28">
        <f>'FY21 Final Initial $$'!AS108/'FY21 FTE'!AS$120</f>
        <v>0</v>
      </c>
      <c r="AT108" s="28">
        <f>'FY21 Final Initial $$'!AT108/'FY21 FTE'!AT$120</f>
        <v>0</v>
      </c>
      <c r="AU108" s="28">
        <f>'FY21 Final Initial $$'!AU108/'FY21 FTE'!AU$120</f>
        <v>0</v>
      </c>
      <c r="AV108" s="28">
        <f>'FY21 Final Initial $$'!AV108/'FY21 FTE'!AV$120</f>
        <v>0</v>
      </c>
      <c r="AW108" s="28">
        <f>'FY21 Final Initial $$'!AW108/'FY21 FTE'!AW$120</f>
        <v>0</v>
      </c>
      <c r="AX108" s="28">
        <f>'FY21 Final Initial $$'!AX108/'FY21 FTE'!AX$120</f>
        <v>0</v>
      </c>
      <c r="AY108" s="28">
        <f>'FY21 Final Initial $$'!AY108/'FY21 FTE'!AY$120</f>
        <v>1</v>
      </c>
      <c r="AZ108" s="28">
        <f>'FY21 Final Initial $$'!AZ108/'FY21 FTE'!AZ$120</f>
        <v>2</v>
      </c>
      <c r="BA108" s="28">
        <f>'FY21 Final Initial $$'!BA108/'FY21 FTE'!BA$120</f>
        <v>7</v>
      </c>
      <c r="BB108" s="28">
        <f>'FY21 Final Initial $$'!BB108/'FY21 FTE'!BB$120</f>
        <v>4</v>
      </c>
      <c r="BC108" s="28">
        <f>'FY21 Final Initial $$'!BC108/'FY21 FTE'!BC$120</f>
        <v>0</v>
      </c>
      <c r="BD108" s="28">
        <f>'FY21 Final Initial $$'!BD108/'FY21 FTE'!BD$120</f>
        <v>0</v>
      </c>
      <c r="BE108" s="28">
        <f>'FY21 Final Initial $$'!BE108/'FY21 FTE'!BE$120</f>
        <v>0.13636363636363635</v>
      </c>
      <c r="BF108" s="28">
        <f>'FY21 Final Initial $$'!BF108/'FY21 FTE'!BF$120</f>
        <v>0</v>
      </c>
      <c r="BG108" s="28">
        <f>'FY21 Final Initial $$'!BG108/'FY21 FTE'!BG$120</f>
        <v>0</v>
      </c>
      <c r="BH108" s="28">
        <f>'FY21 Final Initial $$'!BH108/'FY21 FTE'!BH$120</f>
        <v>4</v>
      </c>
      <c r="BI108" s="28">
        <f>'FY21 Final Initial $$'!BI108/'FY21 FTE'!BI$120</f>
        <v>2</v>
      </c>
      <c r="BJ108" s="28">
        <f>'FY21 Final Initial $$'!BJ108/'FY21 FTE'!BJ$120</f>
        <v>0</v>
      </c>
      <c r="BK108" s="20">
        <v>0</v>
      </c>
      <c r="BL108" s="20"/>
      <c r="BM108" s="20"/>
      <c r="BN108" s="20">
        <v>215218.3</v>
      </c>
      <c r="BO108" s="20">
        <v>3560.55</v>
      </c>
      <c r="BP108" s="20">
        <v>0</v>
      </c>
      <c r="BQ108" s="28">
        <f>'FY21 Final Initial $$'!BQ108/'FY21 FTE'!BQ$120</f>
        <v>1</v>
      </c>
      <c r="BR108" s="28">
        <f>'FY21 Final Initial $$'!BR108/'FY21 FTE'!BR$120</f>
        <v>0</v>
      </c>
      <c r="BS108" s="28">
        <f>'FY21 Final Initial $$'!BS108/'FY21 FTE'!BS$120</f>
        <v>0</v>
      </c>
      <c r="BT108" s="28">
        <f>'FY21 Final Initial $$'!BT108/'FY21 FTE'!BT$120</f>
        <v>0</v>
      </c>
      <c r="BU108" s="28">
        <f>'FY21 Final Initial $$'!BU108/'FY21 FTE'!BU$120</f>
        <v>0</v>
      </c>
      <c r="BV108" s="28">
        <f>'FY21 Final Initial $$'!BV108/'FY21 FTE'!BV$120</f>
        <v>0</v>
      </c>
      <c r="BW108" s="28">
        <f>'FY21 Final Initial $$'!BW108/'FY21 FTE'!BW$120</f>
        <v>0</v>
      </c>
      <c r="BX108" s="20">
        <v>0</v>
      </c>
      <c r="BY108" s="20">
        <v>0</v>
      </c>
      <c r="BZ108" s="20">
        <v>0</v>
      </c>
      <c r="CA108" s="20">
        <v>0</v>
      </c>
      <c r="CB108" s="28">
        <f>'FY21 Final Initial $$'!CB108/'FY21 FTE'!CB$120</f>
        <v>0</v>
      </c>
      <c r="CC108" s="28">
        <f>'FY21 Final Initial $$'!CC108/'FY21 FTE'!CC$120</f>
        <v>0</v>
      </c>
      <c r="CD108" s="20">
        <v>0</v>
      </c>
      <c r="CE108" s="28">
        <f>'FY21 Final Initial $$'!CE108/'FY21 FTE'!CE$120</f>
        <v>0</v>
      </c>
      <c r="CF108" s="28">
        <f>'FY21 Final Initial $$'!CF108/'FY21 FTE'!CF$120</f>
        <v>0</v>
      </c>
      <c r="CG108" s="28">
        <f>'FY21 Final Initial $$'!CG108/'FY21 FTE'!CG$120</f>
        <v>0</v>
      </c>
      <c r="CH108" s="28">
        <f>'FY21 Final Initial $$'!CH108/'FY21 FTE'!CH$120</f>
        <v>0</v>
      </c>
      <c r="CI108" s="28">
        <f>'FY21 Final Initial $$'!CI108/'FY21 FTE'!CI$120</f>
        <v>0</v>
      </c>
      <c r="CJ108" s="28">
        <f>'FY21 Final Initial $$'!CJ108/'FY21 FTE'!CJ$120</f>
        <v>0</v>
      </c>
      <c r="CK108" s="28">
        <f>'FY21 Final Initial $$'!CK108/'FY21 FTE'!CK$120</f>
        <v>0</v>
      </c>
      <c r="CL108" s="28">
        <f>'FY21 Final Initial $$'!CL108/'FY21 FTE'!CL$120</f>
        <v>0</v>
      </c>
      <c r="CM108" s="20">
        <v>0</v>
      </c>
      <c r="CN108" s="20">
        <v>0</v>
      </c>
      <c r="CO108" s="20">
        <v>132202.4</v>
      </c>
      <c r="CP108" s="20">
        <v>0</v>
      </c>
      <c r="CQ108" s="28">
        <f>'FY21 Final Initial $$'!CQ108/'FY21 FTE'!CQ$120</f>
        <v>0</v>
      </c>
      <c r="CR108" s="20">
        <v>0</v>
      </c>
      <c r="CS108" s="20">
        <v>16120</v>
      </c>
      <c r="CT108" s="20">
        <v>0</v>
      </c>
      <c r="CU108" s="20">
        <v>28218.113207547169</v>
      </c>
      <c r="CV108" s="28">
        <f>'FY21 Final Initial $$'!CV108/'FY21 FTE'!CV$120</f>
        <v>0</v>
      </c>
      <c r="CW108" s="28">
        <f>'FY21 Final Initial $$'!CW108/'FY21 FTE'!CW$120</f>
        <v>0</v>
      </c>
      <c r="CX108" s="20">
        <v>0</v>
      </c>
      <c r="CY108" s="28">
        <f>'FY21 Final Initial $$'!CY108/'FY21 FTE'!CY$120</f>
        <v>0</v>
      </c>
      <c r="CZ108" s="20">
        <v>0</v>
      </c>
      <c r="DA108" s="20">
        <v>0</v>
      </c>
      <c r="DB108" s="20">
        <v>51100</v>
      </c>
      <c r="DC108" s="20">
        <v>95982.17478557791</v>
      </c>
      <c r="DD108" s="20">
        <v>0</v>
      </c>
      <c r="DE108" s="20">
        <v>0</v>
      </c>
      <c r="DF108" s="20">
        <v>13859</v>
      </c>
      <c r="DG108" s="20">
        <v>21356</v>
      </c>
      <c r="DH108" s="28">
        <f>'FY21 Final Initial $$'!DH108/'FY21 FTE'!DH$120</f>
        <v>0</v>
      </c>
      <c r="DI108" s="20"/>
      <c r="DJ108" s="20">
        <v>47625.000430271029</v>
      </c>
      <c r="DK108" s="22">
        <v>0</v>
      </c>
      <c r="DL108" s="20">
        <v>0</v>
      </c>
      <c r="DM108" s="20">
        <v>0</v>
      </c>
      <c r="DN108" s="20">
        <v>6683527.3015027689</v>
      </c>
      <c r="DO108" s="29">
        <f t="shared" si="6"/>
        <v>8</v>
      </c>
      <c r="DP108" s="29">
        <f t="shared" si="6"/>
        <v>8</v>
      </c>
      <c r="DQ108" s="29">
        <f t="shared" si="7"/>
        <v>16.000000000000007</v>
      </c>
      <c r="DR108" s="29">
        <f t="shared" si="8"/>
        <v>10.136363636363637</v>
      </c>
      <c r="DS108" s="29">
        <f t="shared" si="9"/>
        <v>4</v>
      </c>
    </row>
    <row r="109" spans="1:123" x14ac:dyDescent="0.25">
      <c r="A109" s="18">
        <v>330</v>
      </c>
      <c r="B109" t="s">
        <v>250</v>
      </c>
      <c r="C109" t="s">
        <v>135</v>
      </c>
      <c r="D109">
        <v>6</v>
      </c>
      <c r="E109">
        <v>541</v>
      </c>
      <c r="F109" s="19">
        <f t="shared" si="5"/>
        <v>0.3733826247689464</v>
      </c>
      <c r="G109">
        <v>202</v>
      </c>
      <c r="H109" s="28">
        <f>'FY21 Final Initial $$'!H109/'FY21 FTE'!H$120</f>
        <v>1</v>
      </c>
      <c r="I109" s="28">
        <f>'FY21 Final Initial $$'!I109/'FY21 FTE'!I$120</f>
        <v>1</v>
      </c>
      <c r="J109" s="28">
        <f>'FY21 Final Initial $$'!J109/'FY21 FTE'!J$120</f>
        <v>1.4</v>
      </c>
      <c r="K109" s="28">
        <f>'FY21 Final Initial $$'!K109/'FY21 FTE'!K$120</f>
        <v>0</v>
      </c>
      <c r="L109" s="28">
        <f>'FY21 Final Initial $$'!L109/'FY21 FTE'!L$120</f>
        <v>0</v>
      </c>
      <c r="M109" s="28">
        <f>'FY21 Final Initial $$'!M109/'FY21 FTE'!M$120</f>
        <v>1</v>
      </c>
      <c r="N109" s="28">
        <f>'FY21 Final Initial $$'!N109/'FY21 FTE'!N$120</f>
        <v>1</v>
      </c>
      <c r="O109" s="28">
        <f>'FY21 Final Initial $$'!O109/'FY21 FTE'!O$120</f>
        <v>1.4</v>
      </c>
      <c r="P109" s="28">
        <f>'FY21 Final Initial $$'!P109/'FY21 FTE'!P$120</f>
        <v>0</v>
      </c>
      <c r="Q109" s="28">
        <f>'FY21 Final Initial $$'!Q109/'FY21 FTE'!Q$120</f>
        <v>0</v>
      </c>
      <c r="R109" s="28">
        <f>'FY21 Final Initial $$'!R109/'FY21 FTE'!R$120</f>
        <v>0</v>
      </c>
      <c r="S109" s="28">
        <f>'FY21 Final Initial $$'!S109/'FY21 FTE'!S$120</f>
        <v>1</v>
      </c>
      <c r="T109" s="28">
        <f>'FY21 Final Initial $$'!T109/'FY21 FTE'!T$120</f>
        <v>1</v>
      </c>
      <c r="U109" s="28">
        <f>'FY21 Final Initial $$'!U109/'FY21 FTE'!U$120</f>
        <v>3</v>
      </c>
      <c r="V109" s="28">
        <f>'FY21 Final Initial $$'!V109/'FY21 FTE'!V$120</f>
        <v>1</v>
      </c>
      <c r="W109" s="28">
        <f>'FY21 Final Initial $$'!W109/'FY21 FTE'!W$120</f>
        <v>1</v>
      </c>
      <c r="X109" s="28">
        <f>'FY21 Final Initial $$'!X109/'FY21 FTE'!X$120</f>
        <v>1</v>
      </c>
      <c r="Y109" s="28">
        <f>'FY21 Final Initial $$'!Y109/'FY21 FTE'!Y$120</f>
        <v>1</v>
      </c>
      <c r="Z109" s="28">
        <f>'FY21 Final Initial $$'!Z109/'FY21 FTE'!Z$120</f>
        <v>1.5</v>
      </c>
      <c r="AA109" s="28">
        <f>'FY21 Final Initial $$'!AA109/'FY21 FTE'!AA$120</f>
        <v>0</v>
      </c>
      <c r="AB109" s="28">
        <f>'FY21 Final Initial $$'!AB109/'FY21 FTE'!AB$120</f>
        <v>4</v>
      </c>
      <c r="AC109" s="28">
        <f>'FY21 Final Initial $$'!AC109/'FY21 FTE'!AC$120</f>
        <v>4</v>
      </c>
      <c r="AD109" s="28">
        <f>'FY21 Final Initial $$'!AD109/'FY21 FTE'!AD$120</f>
        <v>0</v>
      </c>
      <c r="AE109" s="28">
        <f>'FY21 Final Initial $$'!AE109/'FY21 FTE'!AE$120</f>
        <v>0</v>
      </c>
      <c r="AF109" s="28">
        <f>'FY21 Final Initial $$'!AF109/'FY21 FTE'!AF$120</f>
        <v>4</v>
      </c>
      <c r="AG109" s="28">
        <f>'FY21 Final Initial $$'!AG109/'FY21 FTE'!AG$120</f>
        <v>4</v>
      </c>
      <c r="AH109" s="28">
        <f>'FY21 Final Initial $$'!AH109/'FY21 FTE'!AH$120</f>
        <v>4</v>
      </c>
      <c r="AI109" s="28">
        <f>'FY21 Final Initial $$'!AI109/'FY21 FTE'!AI$120</f>
        <v>4</v>
      </c>
      <c r="AJ109" s="28">
        <f>'FY21 Final Initial $$'!AJ109/'FY21 FTE'!AJ$120</f>
        <v>4</v>
      </c>
      <c r="AK109" s="28">
        <f>'FY21 Final Initial $$'!AK109/'FY21 FTE'!AK$120</f>
        <v>3</v>
      </c>
      <c r="AL109" s="28">
        <f>'FY21 Final Initial $$'!AL109/'FY21 FTE'!AL$120</f>
        <v>3</v>
      </c>
      <c r="AM109" s="28">
        <f>'FY21 Final Initial $$'!AM109/'FY21 FTE'!AM$120</f>
        <v>3</v>
      </c>
      <c r="AN109" s="28">
        <f>'FY21 Final Initial $$'!AN109/'FY21 FTE'!AN$120</f>
        <v>3.000000000000004</v>
      </c>
      <c r="AO109" s="28">
        <f>'FY21 Final Initial $$'!AO109/'FY21 FTE'!AO$120</f>
        <v>0</v>
      </c>
      <c r="AP109" s="28">
        <f>'FY21 Final Initial $$'!AP109/'FY21 FTE'!AP$120</f>
        <v>0</v>
      </c>
      <c r="AQ109" s="28">
        <f>'FY21 Final Initial $$'!AQ109/'FY21 FTE'!AQ$120</f>
        <v>0</v>
      </c>
      <c r="AR109" s="28">
        <f>'FY21 Final Initial $$'!AR109/'FY21 FTE'!AR$120</f>
        <v>0</v>
      </c>
      <c r="AS109" s="28">
        <f>'FY21 Final Initial $$'!AS109/'FY21 FTE'!AS$120</f>
        <v>0</v>
      </c>
      <c r="AT109" s="28">
        <f>'FY21 Final Initial $$'!AT109/'FY21 FTE'!AT$120</f>
        <v>0</v>
      </c>
      <c r="AU109" s="28">
        <f>'FY21 Final Initial $$'!AU109/'FY21 FTE'!AU$120</f>
        <v>0</v>
      </c>
      <c r="AV109" s="28">
        <f>'FY21 Final Initial $$'!AV109/'FY21 FTE'!AV$120</f>
        <v>0</v>
      </c>
      <c r="AW109" s="28">
        <f>'FY21 Final Initial $$'!AW109/'FY21 FTE'!AW$120</f>
        <v>0</v>
      </c>
      <c r="AX109" s="28">
        <f>'FY21 Final Initial $$'!AX109/'FY21 FTE'!AX$120</f>
        <v>0</v>
      </c>
      <c r="AY109" s="28">
        <f>'FY21 Final Initial $$'!AY109/'FY21 FTE'!AY$120</f>
        <v>1</v>
      </c>
      <c r="AZ109" s="28">
        <f>'FY21 Final Initial $$'!AZ109/'FY21 FTE'!AZ$120</f>
        <v>1</v>
      </c>
      <c r="BA109" s="28">
        <f>'FY21 Final Initial $$'!BA109/'FY21 FTE'!BA$120</f>
        <v>10</v>
      </c>
      <c r="BB109" s="28">
        <f>'FY21 Final Initial $$'!BB109/'FY21 FTE'!BB$120</f>
        <v>9</v>
      </c>
      <c r="BC109" s="28">
        <f>'FY21 Final Initial $$'!BC109/'FY21 FTE'!BC$120</f>
        <v>0</v>
      </c>
      <c r="BD109" s="28">
        <f>'FY21 Final Initial $$'!BD109/'FY21 FTE'!BD$120</f>
        <v>1</v>
      </c>
      <c r="BE109" s="28">
        <f>'FY21 Final Initial $$'!BE109/'FY21 FTE'!BE$120</f>
        <v>1</v>
      </c>
      <c r="BF109" s="28">
        <f>'FY21 Final Initial $$'!BF109/'FY21 FTE'!BF$120</f>
        <v>0</v>
      </c>
      <c r="BG109" s="28">
        <f>'FY21 Final Initial $$'!BG109/'FY21 FTE'!BG$120</f>
        <v>0</v>
      </c>
      <c r="BH109" s="28">
        <f>'FY21 Final Initial $$'!BH109/'FY21 FTE'!BH$120</f>
        <v>4</v>
      </c>
      <c r="BI109" s="28">
        <f>'FY21 Final Initial $$'!BI109/'FY21 FTE'!BI$120</f>
        <v>2</v>
      </c>
      <c r="BJ109" s="28">
        <f>'FY21 Final Initial $$'!BJ109/'FY21 FTE'!BJ$120</f>
        <v>0</v>
      </c>
      <c r="BK109" s="20">
        <v>0</v>
      </c>
      <c r="BL109" s="20"/>
      <c r="BM109" s="20"/>
      <c r="BN109" s="20">
        <v>224594.14</v>
      </c>
      <c r="BO109" s="20">
        <v>3715.66</v>
      </c>
      <c r="BP109" s="20">
        <v>0</v>
      </c>
      <c r="BQ109" s="28">
        <f>'FY21 Final Initial $$'!BQ109/'FY21 FTE'!BQ$120</f>
        <v>0</v>
      </c>
      <c r="BR109" s="28">
        <f>'FY21 Final Initial $$'!BR109/'FY21 FTE'!BR$120</f>
        <v>0</v>
      </c>
      <c r="BS109" s="28">
        <f>'FY21 Final Initial $$'!BS109/'FY21 FTE'!BS$120</f>
        <v>0</v>
      </c>
      <c r="BT109" s="28">
        <f>'FY21 Final Initial $$'!BT109/'FY21 FTE'!BT$120</f>
        <v>0</v>
      </c>
      <c r="BU109" s="28">
        <f>'FY21 Final Initial $$'!BU109/'FY21 FTE'!BU$120</f>
        <v>0</v>
      </c>
      <c r="BV109" s="28">
        <f>'FY21 Final Initial $$'!BV109/'FY21 FTE'!BV$120</f>
        <v>0</v>
      </c>
      <c r="BW109" s="28">
        <f>'FY21 Final Initial $$'!BW109/'FY21 FTE'!BW$120</f>
        <v>0</v>
      </c>
      <c r="BX109" s="20">
        <v>0</v>
      </c>
      <c r="BY109" s="20">
        <v>0</v>
      </c>
      <c r="BZ109" s="20">
        <v>0</v>
      </c>
      <c r="CA109" s="20">
        <v>0</v>
      </c>
      <c r="CB109" s="28">
        <f>'FY21 Final Initial $$'!CB109/'FY21 FTE'!CB$120</f>
        <v>0</v>
      </c>
      <c r="CC109" s="28">
        <f>'FY21 Final Initial $$'!CC109/'FY21 FTE'!CC$120</f>
        <v>0</v>
      </c>
      <c r="CD109" s="20">
        <v>0</v>
      </c>
      <c r="CE109" s="28">
        <f>'FY21 Final Initial $$'!CE109/'FY21 FTE'!CE$120</f>
        <v>0</v>
      </c>
      <c r="CF109" s="28">
        <f>'FY21 Final Initial $$'!CF109/'FY21 FTE'!CF$120</f>
        <v>0</v>
      </c>
      <c r="CG109" s="28">
        <f>'FY21 Final Initial $$'!CG109/'FY21 FTE'!CG$120</f>
        <v>0</v>
      </c>
      <c r="CH109" s="28">
        <f>'FY21 Final Initial $$'!CH109/'FY21 FTE'!CH$120</f>
        <v>0</v>
      </c>
      <c r="CI109" s="28">
        <f>'FY21 Final Initial $$'!CI109/'FY21 FTE'!CI$120</f>
        <v>0</v>
      </c>
      <c r="CJ109" s="28">
        <f>'FY21 Final Initial $$'!CJ109/'FY21 FTE'!CJ$120</f>
        <v>0</v>
      </c>
      <c r="CK109" s="28">
        <f>'FY21 Final Initial $$'!CK109/'FY21 FTE'!CK$120</f>
        <v>0</v>
      </c>
      <c r="CL109" s="28">
        <f>'FY21 Final Initial $$'!CL109/'FY21 FTE'!CL$120</f>
        <v>0</v>
      </c>
      <c r="CM109" s="20">
        <v>0</v>
      </c>
      <c r="CN109" s="20">
        <v>0</v>
      </c>
      <c r="CO109" s="20">
        <v>111843.51999999999</v>
      </c>
      <c r="CP109" s="20">
        <v>0</v>
      </c>
      <c r="CQ109" s="28">
        <f>'FY21 Final Initial $$'!CQ109/'FY21 FTE'!CQ$120</f>
        <v>0</v>
      </c>
      <c r="CR109" s="20">
        <v>0</v>
      </c>
      <c r="CS109" s="20">
        <v>4040</v>
      </c>
      <c r="CT109" s="20">
        <v>0</v>
      </c>
      <c r="CU109" s="20">
        <v>28245.58510638298</v>
      </c>
      <c r="CV109" s="28">
        <f>'FY21 Final Initial $$'!CV109/'FY21 FTE'!CV$120</f>
        <v>0</v>
      </c>
      <c r="CW109" s="28">
        <f>'FY21 Final Initial $$'!CW109/'FY21 FTE'!CW$120</f>
        <v>0</v>
      </c>
      <c r="CX109" s="20">
        <v>0</v>
      </c>
      <c r="CY109" s="28">
        <f>'FY21 Final Initial $$'!CY109/'FY21 FTE'!CY$120</f>
        <v>0</v>
      </c>
      <c r="CZ109" s="20">
        <v>0</v>
      </c>
      <c r="DA109" s="20">
        <v>0</v>
      </c>
      <c r="DB109" s="20">
        <v>54100</v>
      </c>
      <c r="DC109" s="20">
        <v>112503.1372372022</v>
      </c>
      <c r="DD109" s="20">
        <v>0</v>
      </c>
      <c r="DE109" s="20">
        <v>0</v>
      </c>
      <c r="DF109" s="20">
        <v>0</v>
      </c>
      <c r="DG109" s="20">
        <v>0</v>
      </c>
      <c r="DH109" s="28">
        <f>'FY21 Final Initial $$'!DH109/'FY21 FTE'!DH$120</f>
        <v>0</v>
      </c>
      <c r="DI109" s="20"/>
      <c r="DJ109" s="20">
        <v>14574.999584071338</v>
      </c>
      <c r="DK109" s="22">
        <v>0</v>
      </c>
      <c r="DL109" s="20">
        <v>0</v>
      </c>
      <c r="DM109" s="20">
        <v>0</v>
      </c>
      <c r="DN109" s="20">
        <v>7623729.5411327621</v>
      </c>
      <c r="DO109" s="29">
        <f t="shared" si="6"/>
        <v>12</v>
      </c>
      <c r="DP109" s="29">
        <f t="shared" si="6"/>
        <v>12</v>
      </c>
      <c r="DQ109" s="29">
        <f t="shared" si="7"/>
        <v>16.000000000000004</v>
      </c>
      <c r="DR109" s="29">
        <f t="shared" si="8"/>
        <v>13</v>
      </c>
      <c r="DS109" s="29">
        <f t="shared" si="9"/>
        <v>9</v>
      </c>
    </row>
    <row r="110" spans="1:123" x14ac:dyDescent="0.25">
      <c r="A110" s="18">
        <v>331</v>
      </c>
      <c r="B110" t="s">
        <v>251</v>
      </c>
      <c r="C110" t="s">
        <v>135</v>
      </c>
      <c r="D110">
        <v>6</v>
      </c>
      <c r="E110">
        <v>380</v>
      </c>
      <c r="F110" s="19">
        <f t="shared" si="5"/>
        <v>0.21842105263157896</v>
      </c>
      <c r="G110">
        <v>83</v>
      </c>
      <c r="H110" s="28">
        <f>'FY21 Final Initial $$'!H110/'FY21 FTE'!H$120</f>
        <v>1</v>
      </c>
      <c r="I110" s="28">
        <f>'FY21 Final Initial $$'!I110/'FY21 FTE'!I$120</f>
        <v>1</v>
      </c>
      <c r="J110" s="28">
        <f>'FY21 Final Initial $$'!J110/'FY21 FTE'!J$120</f>
        <v>1</v>
      </c>
      <c r="K110" s="28">
        <f>'FY21 Final Initial $$'!K110/'FY21 FTE'!K$120</f>
        <v>0</v>
      </c>
      <c r="L110" s="28">
        <f>'FY21 Final Initial $$'!L110/'FY21 FTE'!L$120</f>
        <v>0</v>
      </c>
      <c r="M110" s="28">
        <f>'FY21 Final Initial $$'!M110/'FY21 FTE'!M$120</f>
        <v>1</v>
      </c>
      <c r="N110" s="28">
        <f>'FY21 Final Initial $$'!N110/'FY21 FTE'!N$120</f>
        <v>1</v>
      </c>
      <c r="O110" s="28">
        <f>'FY21 Final Initial $$'!O110/'FY21 FTE'!O$120</f>
        <v>0</v>
      </c>
      <c r="P110" s="28">
        <f>'FY21 Final Initial $$'!P110/'FY21 FTE'!P$120</f>
        <v>0</v>
      </c>
      <c r="Q110" s="28">
        <f>'FY21 Final Initial $$'!Q110/'FY21 FTE'!Q$120</f>
        <v>0</v>
      </c>
      <c r="R110" s="28">
        <f>'FY21 Final Initial $$'!R110/'FY21 FTE'!R$120</f>
        <v>0</v>
      </c>
      <c r="S110" s="28">
        <f>'FY21 Final Initial $$'!S110/'FY21 FTE'!S$120</f>
        <v>1</v>
      </c>
      <c r="T110" s="28">
        <f>'FY21 Final Initial $$'!T110/'FY21 FTE'!T$120</f>
        <v>1</v>
      </c>
      <c r="U110" s="28">
        <f>'FY21 Final Initial $$'!U110/'FY21 FTE'!U$120</f>
        <v>2</v>
      </c>
      <c r="V110" s="28">
        <f>'FY21 Final Initial $$'!V110/'FY21 FTE'!V$120</f>
        <v>1</v>
      </c>
      <c r="W110" s="28">
        <f>'FY21 Final Initial $$'!W110/'FY21 FTE'!W$120</f>
        <v>1</v>
      </c>
      <c r="X110" s="28">
        <f>'FY21 Final Initial $$'!X110/'FY21 FTE'!X$120</f>
        <v>1</v>
      </c>
      <c r="Y110" s="28">
        <f>'FY21 Final Initial $$'!Y110/'FY21 FTE'!Y$120</f>
        <v>1</v>
      </c>
      <c r="Z110" s="28">
        <f>'FY21 Final Initial $$'!Z110/'FY21 FTE'!Z$120</f>
        <v>0</v>
      </c>
      <c r="AA110" s="28">
        <f>'FY21 Final Initial $$'!AA110/'FY21 FTE'!AA$120</f>
        <v>0</v>
      </c>
      <c r="AB110" s="28">
        <f>'FY21 Final Initial $$'!AB110/'FY21 FTE'!AB$120</f>
        <v>2</v>
      </c>
      <c r="AC110" s="28">
        <f>'FY21 Final Initial $$'!AC110/'FY21 FTE'!AC$120</f>
        <v>2</v>
      </c>
      <c r="AD110" s="28">
        <f>'FY21 Final Initial $$'!AD110/'FY21 FTE'!AD$120</f>
        <v>0</v>
      </c>
      <c r="AE110" s="28">
        <f>'FY21 Final Initial $$'!AE110/'FY21 FTE'!AE$120</f>
        <v>0</v>
      </c>
      <c r="AF110" s="28">
        <f>'FY21 Final Initial $$'!AF110/'FY21 FTE'!AF$120</f>
        <v>2</v>
      </c>
      <c r="AG110" s="28">
        <f>'FY21 Final Initial $$'!AG110/'FY21 FTE'!AG$120</f>
        <v>2</v>
      </c>
      <c r="AH110" s="28">
        <f>'FY21 Final Initial $$'!AH110/'FY21 FTE'!AH$120</f>
        <v>3</v>
      </c>
      <c r="AI110" s="28">
        <f>'FY21 Final Initial $$'!AI110/'FY21 FTE'!AI$120</f>
        <v>3</v>
      </c>
      <c r="AJ110" s="28">
        <f>'FY21 Final Initial $$'!AJ110/'FY21 FTE'!AJ$120</f>
        <v>3</v>
      </c>
      <c r="AK110" s="28">
        <f>'FY21 Final Initial $$'!AK110/'FY21 FTE'!AK$120</f>
        <v>3</v>
      </c>
      <c r="AL110" s="28">
        <f>'FY21 Final Initial $$'!AL110/'FY21 FTE'!AL$120</f>
        <v>2</v>
      </c>
      <c r="AM110" s="28">
        <f>'FY21 Final Initial $$'!AM110/'FY21 FTE'!AM$120</f>
        <v>3</v>
      </c>
      <c r="AN110" s="28">
        <f>'FY21 Final Initial $$'!AN110/'FY21 FTE'!AN$120</f>
        <v>1.9995261901383794</v>
      </c>
      <c r="AO110" s="28">
        <f>'FY21 Final Initial $$'!AO110/'FY21 FTE'!AO$120</f>
        <v>0</v>
      </c>
      <c r="AP110" s="28">
        <f>'FY21 Final Initial $$'!AP110/'FY21 FTE'!AP$120</f>
        <v>0</v>
      </c>
      <c r="AQ110" s="28">
        <f>'FY21 Final Initial $$'!AQ110/'FY21 FTE'!AQ$120</f>
        <v>0</v>
      </c>
      <c r="AR110" s="28">
        <f>'FY21 Final Initial $$'!AR110/'FY21 FTE'!AR$120</f>
        <v>0</v>
      </c>
      <c r="AS110" s="28">
        <f>'FY21 Final Initial $$'!AS110/'FY21 FTE'!AS$120</f>
        <v>0</v>
      </c>
      <c r="AT110" s="28">
        <f>'FY21 Final Initial $$'!AT110/'FY21 FTE'!AT$120</f>
        <v>0</v>
      </c>
      <c r="AU110" s="28">
        <f>'FY21 Final Initial $$'!AU110/'FY21 FTE'!AU$120</f>
        <v>0</v>
      </c>
      <c r="AV110" s="28">
        <f>'FY21 Final Initial $$'!AV110/'FY21 FTE'!AV$120</f>
        <v>0</v>
      </c>
      <c r="AW110" s="28">
        <f>'FY21 Final Initial $$'!AW110/'FY21 FTE'!AW$120</f>
        <v>0</v>
      </c>
      <c r="AX110" s="28">
        <f>'FY21 Final Initial $$'!AX110/'FY21 FTE'!AX$120</f>
        <v>0</v>
      </c>
      <c r="AY110" s="28">
        <f>'FY21 Final Initial $$'!AY110/'FY21 FTE'!AY$120</f>
        <v>1</v>
      </c>
      <c r="AZ110" s="28">
        <f>'FY21 Final Initial $$'!AZ110/'FY21 FTE'!AZ$120</f>
        <v>1</v>
      </c>
      <c r="BA110" s="28">
        <f>'FY21 Final Initial $$'!BA110/'FY21 FTE'!BA$120</f>
        <v>4</v>
      </c>
      <c r="BB110" s="28">
        <f>'FY21 Final Initial $$'!BB110/'FY21 FTE'!BB$120</f>
        <v>0</v>
      </c>
      <c r="BC110" s="28">
        <f>'FY21 Final Initial $$'!BC110/'FY21 FTE'!BC$120</f>
        <v>1</v>
      </c>
      <c r="BD110" s="28">
        <f>'FY21 Final Initial $$'!BD110/'FY21 FTE'!BD$120</f>
        <v>0</v>
      </c>
      <c r="BE110" s="28">
        <f>'FY21 Final Initial $$'!BE110/'FY21 FTE'!BE$120</f>
        <v>0.22727272727272727</v>
      </c>
      <c r="BF110" s="28">
        <f>'FY21 Final Initial $$'!BF110/'FY21 FTE'!BF$120</f>
        <v>0</v>
      </c>
      <c r="BG110" s="28">
        <f>'FY21 Final Initial $$'!BG110/'FY21 FTE'!BG$120</f>
        <v>0</v>
      </c>
      <c r="BH110" s="28">
        <f>'FY21 Final Initial $$'!BH110/'FY21 FTE'!BH$120</f>
        <v>0</v>
      </c>
      <c r="BI110" s="28">
        <f>'FY21 Final Initial $$'!BI110/'FY21 FTE'!BI$120</f>
        <v>0</v>
      </c>
      <c r="BJ110" s="28">
        <f>'FY21 Final Initial $$'!BJ110/'FY21 FTE'!BJ$120</f>
        <v>0</v>
      </c>
      <c r="BK110" s="20">
        <v>0</v>
      </c>
      <c r="BL110" s="20"/>
      <c r="BM110" s="20"/>
      <c r="BN110" s="20">
        <v>69458.789999999994</v>
      </c>
      <c r="BO110" s="20">
        <v>1077.93</v>
      </c>
      <c r="BP110" s="20">
        <v>0</v>
      </c>
      <c r="BQ110" s="28">
        <f>'FY21 Final Initial $$'!BQ110/'FY21 FTE'!BQ$120</f>
        <v>0</v>
      </c>
      <c r="BR110" s="28">
        <f>'FY21 Final Initial $$'!BR110/'FY21 FTE'!BR$120</f>
        <v>0</v>
      </c>
      <c r="BS110" s="28">
        <f>'FY21 Final Initial $$'!BS110/'FY21 FTE'!BS$120</f>
        <v>0</v>
      </c>
      <c r="BT110" s="28">
        <f>'FY21 Final Initial $$'!BT110/'FY21 FTE'!BT$120</f>
        <v>0</v>
      </c>
      <c r="BU110" s="28">
        <f>'FY21 Final Initial $$'!BU110/'FY21 FTE'!BU$120</f>
        <v>0</v>
      </c>
      <c r="BV110" s="28">
        <f>'FY21 Final Initial $$'!BV110/'FY21 FTE'!BV$120</f>
        <v>0</v>
      </c>
      <c r="BW110" s="28">
        <f>'FY21 Final Initial $$'!BW110/'FY21 FTE'!BW$120</f>
        <v>0</v>
      </c>
      <c r="BX110" s="20">
        <v>0</v>
      </c>
      <c r="BY110" s="20">
        <v>0</v>
      </c>
      <c r="BZ110" s="20">
        <v>0</v>
      </c>
      <c r="CA110" s="20">
        <v>0</v>
      </c>
      <c r="CB110" s="28">
        <f>'FY21 Final Initial $$'!CB110/'FY21 FTE'!CB$120</f>
        <v>0</v>
      </c>
      <c r="CC110" s="28">
        <f>'FY21 Final Initial $$'!CC110/'FY21 FTE'!CC$120</f>
        <v>0</v>
      </c>
      <c r="CD110" s="20">
        <v>0</v>
      </c>
      <c r="CE110" s="28">
        <f>'FY21 Final Initial $$'!CE110/'FY21 FTE'!CE$120</f>
        <v>0</v>
      </c>
      <c r="CF110" s="28">
        <f>'FY21 Final Initial $$'!CF110/'FY21 FTE'!CF$120</f>
        <v>0</v>
      </c>
      <c r="CG110" s="28">
        <f>'FY21 Final Initial $$'!CG110/'FY21 FTE'!CG$120</f>
        <v>0</v>
      </c>
      <c r="CH110" s="28">
        <f>'FY21 Final Initial $$'!CH110/'FY21 FTE'!CH$120</f>
        <v>0</v>
      </c>
      <c r="CI110" s="28">
        <f>'FY21 Final Initial $$'!CI110/'FY21 FTE'!CI$120</f>
        <v>0</v>
      </c>
      <c r="CJ110" s="28">
        <f>'FY21 Final Initial $$'!CJ110/'FY21 FTE'!CJ$120</f>
        <v>0</v>
      </c>
      <c r="CK110" s="28">
        <f>'FY21 Final Initial $$'!CK110/'FY21 FTE'!CK$120</f>
        <v>0</v>
      </c>
      <c r="CL110" s="28">
        <f>'FY21 Final Initial $$'!CL110/'FY21 FTE'!CL$120</f>
        <v>0</v>
      </c>
      <c r="CM110" s="20">
        <v>0</v>
      </c>
      <c r="CN110" s="20">
        <v>0</v>
      </c>
      <c r="CO110" s="20">
        <v>111843.51999999999</v>
      </c>
      <c r="CP110" s="20">
        <v>0</v>
      </c>
      <c r="CQ110" s="28">
        <f>'FY21 Final Initial $$'!CQ110/'FY21 FTE'!CQ$120</f>
        <v>0</v>
      </c>
      <c r="CR110" s="20">
        <v>0</v>
      </c>
      <c r="CS110" s="20">
        <v>0</v>
      </c>
      <c r="CT110" s="20">
        <v>0</v>
      </c>
      <c r="CU110" s="20">
        <v>20930.899135446685</v>
      </c>
      <c r="CV110" s="28">
        <f>'FY21 Final Initial $$'!CV110/'FY21 FTE'!CV$120</f>
        <v>0</v>
      </c>
      <c r="CW110" s="28">
        <f>'FY21 Final Initial $$'!CW110/'FY21 FTE'!CW$120</f>
        <v>0</v>
      </c>
      <c r="CX110" s="20">
        <v>0</v>
      </c>
      <c r="CY110" s="28">
        <f>'FY21 Final Initial $$'!CY110/'FY21 FTE'!CY$120</f>
        <v>0</v>
      </c>
      <c r="CZ110" s="20">
        <v>0</v>
      </c>
      <c r="DA110" s="20">
        <v>0</v>
      </c>
      <c r="DB110" s="20">
        <v>38000</v>
      </c>
      <c r="DC110" s="20">
        <v>68494.671424719054</v>
      </c>
      <c r="DD110" s="20">
        <v>0</v>
      </c>
      <c r="DE110" s="20">
        <v>0</v>
      </c>
      <c r="DF110" s="20">
        <v>13859</v>
      </c>
      <c r="DG110" s="20">
        <v>0</v>
      </c>
      <c r="DH110" s="28">
        <f>'FY21 Final Initial $$'!DH110/'FY21 FTE'!DH$120</f>
        <v>0</v>
      </c>
      <c r="DI110" s="20"/>
      <c r="DJ110" s="20">
        <v>3375.0001206994057</v>
      </c>
      <c r="DK110" s="22">
        <v>0</v>
      </c>
      <c r="DL110" s="20">
        <v>0</v>
      </c>
      <c r="DM110" s="20">
        <v>0</v>
      </c>
      <c r="DN110" s="20">
        <v>4803097.2283652797</v>
      </c>
      <c r="DO110" s="29">
        <f t="shared" si="6"/>
        <v>7</v>
      </c>
      <c r="DP110" s="29">
        <f t="shared" si="6"/>
        <v>7</v>
      </c>
      <c r="DQ110" s="29">
        <f t="shared" si="7"/>
        <v>12.999526190138379</v>
      </c>
      <c r="DR110" s="29">
        <f t="shared" si="8"/>
        <v>6.2272727272727275</v>
      </c>
      <c r="DS110" s="29">
        <f t="shared" si="9"/>
        <v>0</v>
      </c>
    </row>
    <row r="111" spans="1:123" x14ac:dyDescent="0.25">
      <c r="A111" s="18">
        <v>332</v>
      </c>
      <c r="B111" t="s">
        <v>252</v>
      </c>
      <c r="C111" t="s">
        <v>150</v>
      </c>
      <c r="D111">
        <v>6</v>
      </c>
      <c r="E111">
        <v>404</v>
      </c>
      <c r="F111" s="19">
        <f t="shared" si="5"/>
        <v>0.74257425742574257</v>
      </c>
      <c r="G111">
        <v>300</v>
      </c>
      <c r="H111" s="28">
        <f>'FY21 Final Initial $$'!H111/'FY21 FTE'!H$120</f>
        <v>1</v>
      </c>
      <c r="I111" s="28">
        <f>'FY21 Final Initial $$'!I111/'FY21 FTE'!I$120</f>
        <v>1</v>
      </c>
      <c r="J111" s="28">
        <f>'FY21 Final Initial $$'!J111/'FY21 FTE'!J$120</f>
        <v>0.4</v>
      </c>
      <c r="K111" s="28">
        <f>'FY21 Final Initial $$'!K111/'FY21 FTE'!K$120</f>
        <v>1</v>
      </c>
      <c r="L111" s="28">
        <f>'FY21 Final Initial $$'!L111/'FY21 FTE'!L$120</f>
        <v>0</v>
      </c>
      <c r="M111" s="28">
        <f>'FY21 Final Initial $$'!M111/'FY21 FTE'!M$120</f>
        <v>1</v>
      </c>
      <c r="N111" s="28">
        <f>'FY21 Final Initial $$'!N111/'FY21 FTE'!N$120</f>
        <v>1</v>
      </c>
      <c r="O111" s="28">
        <f>'FY21 Final Initial $$'!O111/'FY21 FTE'!O$120</f>
        <v>1</v>
      </c>
      <c r="P111" s="28">
        <f>'FY21 Final Initial $$'!P111/'FY21 FTE'!P$120</f>
        <v>0</v>
      </c>
      <c r="Q111" s="28">
        <f>'FY21 Final Initial $$'!Q111/'FY21 FTE'!Q$120</f>
        <v>0</v>
      </c>
      <c r="R111" s="28">
        <f>'FY21 Final Initial $$'!R111/'FY21 FTE'!R$120</f>
        <v>0</v>
      </c>
      <c r="S111" s="28">
        <f>'FY21 Final Initial $$'!S111/'FY21 FTE'!S$120</f>
        <v>1</v>
      </c>
      <c r="T111" s="28">
        <f>'FY21 Final Initial $$'!T111/'FY21 FTE'!T$120</f>
        <v>1</v>
      </c>
      <c r="U111" s="28">
        <f>'FY21 Final Initial $$'!U111/'FY21 FTE'!U$120</f>
        <v>3</v>
      </c>
      <c r="V111" s="28">
        <f>'FY21 Final Initial $$'!V111/'FY21 FTE'!V$120</f>
        <v>1</v>
      </c>
      <c r="W111" s="28">
        <f>'FY21 Final Initial $$'!W111/'FY21 FTE'!W$120</f>
        <v>1</v>
      </c>
      <c r="X111" s="28">
        <f>'FY21 Final Initial $$'!X111/'FY21 FTE'!X$120</f>
        <v>1</v>
      </c>
      <c r="Y111" s="28">
        <f>'FY21 Final Initial $$'!Y111/'FY21 FTE'!Y$120</f>
        <v>1</v>
      </c>
      <c r="Z111" s="28">
        <f>'FY21 Final Initial $$'!Z111/'FY21 FTE'!Z$120</f>
        <v>0</v>
      </c>
      <c r="AA111" s="28">
        <f>'FY21 Final Initial $$'!AA111/'FY21 FTE'!AA$120</f>
        <v>0</v>
      </c>
      <c r="AB111" s="28">
        <f>'FY21 Final Initial $$'!AB111/'FY21 FTE'!AB$120</f>
        <v>2</v>
      </c>
      <c r="AC111" s="28">
        <f>'FY21 Final Initial $$'!AC111/'FY21 FTE'!AC$120</f>
        <v>2</v>
      </c>
      <c r="AD111" s="28">
        <f>'FY21 Final Initial $$'!AD111/'FY21 FTE'!AD$120</f>
        <v>0</v>
      </c>
      <c r="AE111" s="28">
        <f>'FY21 Final Initial $$'!AE111/'FY21 FTE'!AE$120</f>
        <v>0</v>
      </c>
      <c r="AF111" s="28">
        <f>'FY21 Final Initial $$'!AF111/'FY21 FTE'!AF$120</f>
        <v>2</v>
      </c>
      <c r="AG111" s="28">
        <f>'FY21 Final Initial $$'!AG111/'FY21 FTE'!AG$120</f>
        <v>2</v>
      </c>
      <c r="AH111" s="28">
        <f>'FY21 Final Initial $$'!AH111/'FY21 FTE'!AH$120</f>
        <v>2</v>
      </c>
      <c r="AI111" s="28">
        <f>'FY21 Final Initial $$'!AI111/'FY21 FTE'!AI$120</f>
        <v>2</v>
      </c>
      <c r="AJ111" s="28">
        <f>'FY21 Final Initial $$'!AJ111/'FY21 FTE'!AJ$120</f>
        <v>2</v>
      </c>
      <c r="AK111" s="28">
        <f>'FY21 Final Initial $$'!AK111/'FY21 FTE'!AK$120</f>
        <v>2</v>
      </c>
      <c r="AL111" s="28">
        <f>'FY21 Final Initial $$'!AL111/'FY21 FTE'!AL$120</f>
        <v>2</v>
      </c>
      <c r="AM111" s="28">
        <f>'FY21 Final Initial $$'!AM111/'FY21 FTE'!AM$120</f>
        <v>2</v>
      </c>
      <c r="AN111" s="28">
        <f>'FY21 Final Initial $$'!AN111/'FY21 FTE'!AN$120</f>
        <v>2.0000000000000027</v>
      </c>
      <c r="AO111" s="28">
        <f>'FY21 Final Initial $$'!AO111/'FY21 FTE'!AO$120</f>
        <v>1.7</v>
      </c>
      <c r="AP111" s="28">
        <f>'FY21 Final Initial $$'!AP111/'FY21 FTE'!AP$120</f>
        <v>2.2000000000000002</v>
      </c>
      <c r="AQ111" s="28">
        <f>'FY21 Final Initial $$'!AQ111/'FY21 FTE'!AQ$120</f>
        <v>1.3</v>
      </c>
      <c r="AR111" s="28">
        <f>'FY21 Final Initial $$'!AR111/'FY21 FTE'!AR$120</f>
        <v>0</v>
      </c>
      <c r="AS111" s="28">
        <f>'FY21 Final Initial $$'!AS111/'FY21 FTE'!AS$120</f>
        <v>0</v>
      </c>
      <c r="AT111" s="28">
        <f>'FY21 Final Initial $$'!AT111/'FY21 FTE'!AT$120</f>
        <v>0</v>
      </c>
      <c r="AU111" s="28">
        <f>'FY21 Final Initial $$'!AU111/'FY21 FTE'!AU$120</f>
        <v>0</v>
      </c>
      <c r="AV111" s="28">
        <f>'FY21 Final Initial $$'!AV111/'FY21 FTE'!AV$120</f>
        <v>0</v>
      </c>
      <c r="AW111" s="28">
        <f>'FY21 Final Initial $$'!AW111/'FY21 FTE'!AW$120</f>
        <v>0</v>
      </c>
      <c r="AX111" s="28">
        <f>'FY21 Final Initial $$'!AX111/'FY21 FTE'!AX$120</f>
        <v>0</v>
      </c>
      <c r="AY111" s="28">
        <f>'FY21 Final Initial $$'!AY111/'FY21 FTE'!AY$120</f>
        <v>1</v>
      </c>
      <c r="AZ111" s="28">
        <f>'FY21 Final Initial $$'!AZ111/'FY21 FTE'!AZ$120</f>
        <v>2</v>
      </c>
      <c r="BA111" s="28">
        <f>'FY21 Final Initial $$'!BA111/'FY21 FTE'!BA$120</f>
        <v>10</v>
      </c>
      <c r="BB111" s="28">
        <f>'FY21 Final Initial $$'!BB111/'FY21 FTE'!BB$120</f>
        <v>8</v>
      </c>
      <c r="BC111" s="28">
        <f>'FY21 Final Initial $$'!BC111/'FY21 FTE'!BC$120</f>
        <v>0</v>
      </c>
      <c r="BD111" s="28">
        <f>'FY21 Final Initial $$'!BD111/'FY21 FTE'!BD$120</f>
        <v>1</v>
      </c>
      <c r="BE111" s="28">
        <f>'FY21 Final Initial $$'!BE111/'FY21 FTE'!BE$120</f>
        <v>1</v>
      </c>
      <c r="BF111" s="28">
        <f>'FY21 Final Initial $$'!BF111/'FY21 FTE'!BF$120</f>
        <v>0</v>
      </c>
      <c r="BG111" s="28">
        <f>'FY21 Final Initial $$'!BG111/'FY21 FTE'!BG$120</f>
        <v>0</v>
      </c>
      <c r="BH111" s="28">
        <f>'FY21 Final Initial $$'!BH111/'FY21 FTE'!BH$120</f>
        <v>4</v>
      </c>
      <c r="BI111" s="28">
        <f>'FY21 Final Initial $$'!BI111/'FY21 FTE'!BI$120</f>
        <v>2</v>
      </c>
      <c r="BJ111" s="28">
        <f>'FY21 Final Initial $$'!BJ111/'FY21 FTE'!BJ$120</f>
        <v>0</v>
      </c>
      <c r="BK111" s="20">
        <v>0</v>
      </c>
      <c r="BL111" s="20"/>
      <c r="BM111" s="20"/>
      <c r="BN111" s="20">
        <v>176436.39</v>
      </c>
      <c r="BO111" s="20">
        <v>2918.94</v>
      </c>
      <c r="BP111" s="20">
        <v>0</v>
      </c>
      <c r="BQ111" s="28">
        <f>'FY21 Final Initial $$'!BQ111/'FY21 FTE'!BQ$120</f>
        <v>0</v>
      </c>
      <c r="BR111" s="28">
        <f>'FY21 Final Initial $$'!BR111/'FY21 FTE'!BR$120</f>
        <v>0</v>
      </c>
      <c r="BS111" s="28">
        <f>'FY21 Final Initial $$'!BS111/'FY21 FTE'!BS$120</f>
        <v>0</v>
      </c>
      <c r="BT111" s="28">
        <f>'FY21 Final Initial $$'!BT111/'FY21 FTE'!BT$120</f>
        <v>0</v>
      </c>
      <c r="BU111" s="28">
        <f>'FY21 Final Initial $$'!BU111/'FY21 FTE'!BU$120</f>
        <v>0</v>
      </c>
      <c r="BV111" s="28">
        <f>'FY21 Final Initial $$'!BV111/'FY21 FTE'!BV$120</f>
        <v>0</v>
      </c>
      <c r="BW111" s="28">
        <f>'FY21 Final Initial $$'!BW111/'FY21 FTE'!BW$120</f>
        <v>0</v>
      </c>
      <c r="BX111" s="20">
        <v>0</v>
      </c>
      <c r="BY111" s="20">
        <v>0</v>
      </c>
      <c r="BZ111" s="20">
        <v>0</v>
      </c>
      <c r="CA111" s="20">
        <v>0</v>
      </c>
      <c r="CB111" s="28">
        <f>'FY21 Final Initial $$'!CB111/'FY21 FTE'!CB$120</f>
        <v>0</v>
      </c>
      <c r="CC111" s="28">
        <f>'FY21 Final Initial $$'!CC111/'FY21 FTE'!CC$120</f>
        <v>0</v>
      </c>
      <c r="CD111" s="20">
        <v>0</v>
      </c>
      <c r="CE111" s="28">
        <f>'FY21 Final Initial $$'!CE111/'FY21 FTE'!CE$120</f>
        <v>0</v>
      </c>
      <c r="CF111" s="28">
        <f>'FY21 Final Initial $$'!CF111/'FY21 FTE'!CF$120</f>
        <v>0</v>
      </c>
      <c r="CG111" s="28">
        <f>'FY21 Final Initial $$'!CG111/'FY21 FTE'!CG$120</f>
        <v>0</v>
      </c>
      <c r="CH111" s="28">
        <f>'FY21 Final Initial $$'!CH111/'FY21 FTE'!CH$120</f>
        <v>0</v>
      </c>
      <c r="CI111" s="28">
        <f>'FY21 Final Initial $$'!CI111/'FY21 FTE'!CI$120</f>
        <v>0</v>
      </c>
      <c r="CJ111" s="28">
        <f>'FY21 Final Initial $$'!CJ111/'FY21 FTE'!CJ$120</f>
        <v>0</v>
      </c>
      <c r="CK111" s="28">
        <f>'FY21 Final Initial $$'!CK111/'FY21 FTE'!CK$120</f>
        <v>2</v>
      </c>
      <c r="CL111" s="28">
        <f>'FY21 Final Initial $$'!CL111/'FY21 FTE'!CL$120</f>
        <v>0</v>
      </c>
      <c r="CM111" s="20">
        <v>23000</v>
      </c>
      <c r="CN111" s="20">
        <v>5000</v>
      </c>
      <c r="CO111" s="20">
        <v>244045.91999999998</v>
      </c>
      <c r="CP111" s="20">
        <v>100000</v>
      </c>
      <c r="CQ111" s="28">
        <f>'FY21 Final Initial $$'!CQ111/'FY21 FTE'!CQ$120</f>
        <v>0</v>
      </c>
      <c r="CR111" s="20">
        <v>0</v>
      </c>
      <c r="CS111" s="20">
        <v>6000</v>
      </c>
      <c r="CT111" s="20">
        <v>0</v>
      </c>
      <c r="CU111" s="20">
        <v>24417.714285714286</v>
      </c>
      <c r="CV111" s="28">
        <f>'FY21 Final Initial $$'!CV111/'FY21 FTE'!CV$120</f>
        <v>0</v>
      </c>
      <c r="CW111" s="28">
        <f>'FY21 Final Initial $$'!CW111/'FY21 FTE'!CW$120</f>
        <v>0</v>
      </c>
      <c r="CX111" s="20">
        <v>0</v>
      </c>
      <c r="CY111" s="28">
        <f>'FY21 Final Initial $$'!CY111/'FY21 FTE'!CY$120</f>
        <v>0</v>
      </c>
      <c r="CZ111" s="20">
        <v>0</v>
      </c>
      <c r="DA111" s="20">
        <v>0</v>
      </c>
      <c r="DB111" s="20">
        <v>40400</v>
      </c>
      <c r="DC111" s="20">
        <v>99920.056744274043</v>
      </c>
      <c r="DD111" s="20">
        <v>0</v>
      </c>
      <c r="DE111" s="20">
        <v>0</v>
      </c>
      <c r="DF111" s="20">
        <v>0</v>
      </c>
      <c r="DG111" s="20">
        <v>0</v>
      </c>
      <c r="DH111" s="28">
        <f>'FY21 Final Initial $$'!DH111/'FY21 FTE'!DH$120</f>
        <v>0</v>
      </c>
      <c r="DI111" s="20"/>
      <c r="DJ111" s="20">
        <v>26125.000840052962</v>
      </c>
      <c r="DK111" s="22">
        <v>0</v>
      </c>
      <c r="DL111" s="20">
        <v>0</v>
      </c>
      <c r="DM111" s="20">
        <v>0</v>
      </c>
      <c r="DN111" s="20">
        <v>6951138.7264833357</v>
      </c>
      <c r="DO111" s="29">
        <f t="shared" si="6"/>
        <v>6</v>
      </c>
      <c r="DP111" s="29">
        <f t="shared" si="6"/>
        <v>6</v>
      </c>
      <c r="DQ111" s="29">
        <f t="shared" si="7"/>
        <v>15.200000000000003</v>
      </c>
      <c r="DR111" s="29">
        <f t="shared" si="8"/>
        <v>14</v>
      </c>
      <c r="DS111" s="29">
        <f t="shared" si="9"/>
        <v>8</v>
      </c>
    </row>
    <row r="112" spans="1:123" x14ac:dyDescent="0.25">
      <c r="A112" s="18">
        <v>333</v>
      </c>
      <c r="B112" t="s">
        <v>253</v>
      </c>
      <c r="C112" t="s">
        <v>135</v>
      </c>
      <c r="D112">
        <v>6</v>
      </c>
      <c r="E112">
        <v>456</v>
      </c>
      <c r="F112" s="19">
        <f t="shared" si="5"/>
        <v>0.27850877192982454</v>
      </c>
      <c r="G112">
        <v>127</v>
      </c>
      <c r="H112" s="28">
        <f>'FY21 Final Initial $$'!H112/'FY21 FTE'!H$120</f>
        <v>1</v>
      </c>
      <c r="I112" s="28">
        <f>'FY21 Final Initial $$'!I112/'FY21 FTE'!I$120</f>
        <v>1</v>
      </c>
      <c r="J112" s="28">
        <f>'FY21 Final Initial $$'!J112/'FY21 FTE'!J$120</f>
        <v>1.1000000000000001</v>
      </c>
      <c r="K112" s="28">
        <f>'FY21 Final Initial $$'!K112/'FY21 FTE'!K$120</f>
        <v>0</v>
      </c>
      <c r="L112" s="28">
        <f>'FY21 Final Initial $$'!L112/'FY21 FTE'!L$120</f>
        <v>0</v>
      </c>
      <c r="M112" s="28">
        <f>'FY21 Final Initial $$'!M112/'FY21 FTE'!M$120</f>
        <v>1</v>
      </c>
      <c r="N112" s="28">
        <f>'FY21 Final Initial $$'!N112/'FY21 FTE'!N$120</f>
        <v>1</v>
      </c>
      <c r="O112" s="28">
        <f>'FY21 Final Initial $$'!O112/'FY21 FTE'!O$120</f>
        <v>1.1000000000000001</v>
      </c>
      <c r="P112" s="28">
        <f>'FY21 Final Initial $$'!P112/'FY21 FTE'!P$120</f>
        <v>0</v>
      </c>
      <c r="Q112" s="28">
        <f>'FY21 Final Initial $$'!Q112/'FY21 FTE'!Q$120</f>
        <v>0</v>
      </c>
      <c r="R112" s="28">
        <f>'FY21 Final Initial $$'!R112/'FY21 FTE'!R$120</f>
        <v>0</v>
      </c>
      <c r="S112" s="28">
        <f>'FY21 Final Initial $$'!S112/'FY21 FTE'!S$120</f>
        <v>1</v>
      </c>
      <c r="T112" s="28">
        <f>'FY21 Final Initial $$'!T112/'FY21 FTE'!T$120</f>
        <v>1</v>
      </c>
      <c r="U112" s="28">
        <f>'FY21 Final Initial $$'!U112/'FY21 FTE'!U$120</f>
        <v>2</v>
      </c>
      <c r="V112" s="28">
        <f>'FY21 Final Initial $$'!V112/'FY21 FTE'!V$120</f>
        <v>1</v>
      </c>
      <c r="W112" s="28">
        <f>'FY21 Final Initial $$'!W112/'FY21 FTE'!W$120</f>
        <v>1</v>
      </c>
      <c r="X112" s="28">
        <f>'FY21 Final Initial $$'!X112/'FY21 FTE'!X$120</f>
        <v>1</v>
      </c>
      <c r="Y112" s="28">
        <f>'FY21 Final Initial $$'!Y112/'FY21 FTE'!Y$120</f>
        <v>1</v>
      </c>
      <c r="Z112" s="28">
        <f>'FY21 Final Initial $$'!Z112/'FY21 FTE'!Z$120</f>
        <v>1.5</v>
      </c>
      <c r="AA112" s="28">
        <f>'FY21 Final Initial $$'!AA112/'FY21 FTE'!AA$120</f>
        <v>0</v>
      </c>
      <c r="AB112" s="28">
        <f>'FY21 Final Initial $$'!AB112/'FY21 FTE'!AB$120</f>
        <v>0</v>
      </c>
      <c r="AC112" s="28">
        <f>'FY21 Final Initial $$'!AC112/'FY21 FTE'!AC$120</f>
        <v>0</v>
      </c>
      <c r="AD112" s="28">
        <f>'FY21 Final Initial $$'!AD112/'FY21 FTE'!AD$120</f>
        <v>0</v>
      </c>
      <c r="AE112" s="28">
        <f>'FY21 Final Initial $$'!AE112/'FY21 FTE'!AE$120</f>
        <v>0</v>
      </c>
      <c r="AF112" s="28">
        <f>'FY21 Final Initial $$'!AF112/'FY21 FTE'!AF$120</f>
        <v>0</v>
      </c>
      <c r="AG112" s="28">
        <f>'FY21 Final Initial $$'!AG112/'FY21 FTE'!AG$120</f>
        <v>0</v>
      </c>
      <c r="AH112" s="28">
        <f>'FY21 Final Initial $$'!AH112/'FY21 FTE'!AH$120</f>
        <v>0</v>
      </c>
      <c r="AI112" s="28">
        <f>'FY21 Final Initial $$'!AI112/'FY21 FTE'!AI$120</f>
        <v>0</v>
      </c>
      <c r="AJ112" s="28">
        <f>'FY21 Final Initial $$'!AJ112/'FY21 FTE'!AJ$120</f>
        <v>4</v>
      </c>
      <c r="AK112" s="28">
        <f>'FY21 Final Initial $$'!AK112/'FY21 FTE'!AK$120</f>
        <v>4</v>
      </c>
      <c r="AL112" s="28">
        <f>'FY21 Final Initial $$'!AL112/'FY21 FTE'!AL$120</f>
        <v>4</v>
      </c>
      <c r="AM112" s="28">
        <f>'FY21 Final Initial $$'!AM112/'FY21 FTE'!AM$120</f>
        <v>4</v>
      </c>
      <c r="AN112" s="28">
        <f>'FY21 Final Initial $$'!AN112/'FY21 FTE'!AN$120</f>
        <v>4.0000000000000053</v>
      </c>
      <c r="AO112" s="28">
        <f>'FY21 Final Initial $$'!AO112/'FY21 FTE'!AO$120</f>
        <v>0</v>
      </c>
      <c r="AP112" s="28">
        <f>'FY21 Final Initial $$'!AP112/'FY21 FTE'!AP$120</f>
        <v>0</v>
      </c>
      <c r="AQ112" s="28">
        <f>'FY21 Final Initial $$'!AQ112/'FY21 FTE'!AQ$120</f>
        <v>0</v>
      </c>
      <c r="AR112" s="28">
        <f>'FY21 Final Initial $$'!AR112/'FY21 FTE'!AR$120</f>
        <v>0</v>
      </c>
      <c r="AS112" s="28">
        <f>'FY21 Final Initial $$'!AS112/'FY21 FTE'!AS$120</f>
        <v>0</v>
      </c>
      <c r="AT112" s="28">
        <f>'FY21 Final Initial $$'!AT112/'FY21 FTE'!AT$120</f>
        <v>0</v>
      </c>
      <c r="AU112" s="28">
        <f>'FY21 Final Initial $$'!AU112/'FY21 FTE'!AU$120</f>
        <v>0</v>
      </c>
      <c r="AV112" s="28">
        <f>'FY21 Final Initial $$'!AV112/'FY21 FTE'!AV$120</f>
        <v>0</v>
      </c>
      <c r="AW112" s="28">
        <f>'FY21 Final Initial $$'!AW112/'FY21 FTE'!AW$120</f>
        <v>0</v>
      </c>
      <c r="AX112" s="28">
        <f>'FY21 Final Initial $$'!AX112/'FY21 FTE'!AX$120</f>
        <v>0</v>
      </c>
      <c r="AY112" s="28">
        <f>'FY21 Final Initial $$'!AY112/'FY21 FTE'!AY$120</f>
        <v>0.5</v>
      </c>
      <c r="AZ112" s="28">
        <f>'FY21 Final Initial $$'!AZ112/'FY21 FTE'!AZ$120</f>
        <v>2</v>
      </c>
      <c r="BA112" s="28">
        <f>'FY21 Final Initial $$'!BA112/'FY21 FTE'!BA$120</f>
        <v>3</v>
      </c>
      <c r="BB112" s="28">
        <f>'FY21 Final Initial $$'!BB112/'FY21 FTE'!BB$120</f>
        <v>0</v>
      </c>
      <c r="BC112" s="28">
        <f>'FY21 Final Initial $$'!BC112/'FY21 FTE'!BC$120</f>
        <v>0</v>
      </c>
      <c r="BD112" s="28">
        <f>'FY21 Final Initial $$'!BD112/'FY21 FTE'!BD$120</f>
        <v>0</v>
      </c>
      <c r="BE112" s="28">
        <f>'FY21 Final Initial $$'!BE112/'FY21 FTE'!BE$120</f>
        <v>0.13636363636363635</v>
      </c>
      <c r="BF112" s="28">
        <f>'FY21 Final Initial $$'!BF112/'FY21 FTE'!BF$120</f>
        <v>0</v>
      </c>
      <c r="BG112" s="28">
        <f>'FY21 Final Initial $$'!BG112/'FY21 FTE'!BG$120</f>
        <v>0</v>
      </c>
      <c r="BH112" s="28">
        <f>'FY21 Final Initial $$'!BH112/'FY21 FTE'!BH$120</f>
        <v>0</v>
      </c>
      <c r="BI112" s="28">
        <f>'FY21 Final Initial $$'!BI112/'FY21 FTE'!BI$120</f>
        <v>0</v>
      </c>
      <c r="BJ112" s="28">
        <f>'FY21 Final Initial $$'!BJ112/'FY21 FTE'!BJ$120</f>
        <v>0</v>
      </c>
      <c r="BK112" s="20">
        <v>0</v>
      </c>
      <c r="BL112" s="20"/>
      <c r="BM112" s="20"/>
      <c r="BN112" s="20">
        <v>0</v>
      </c>
      <c r="BO112" s="20">
        <v>0</v>
      </c>
      <c r="BP112" s="20">
        <v>11150</v>
      </c>
      <c r="BQ112" s="28">
        <f>'FY21 Final Initial $$'!BQ112/'FY21 FTE'!BQ$120</f>
        <v>0</v>
      </c>
      <c r="BR112" s="28">
        <f>'FY21 Final Initial $$'!BR112/'FY21 FTE'!BR$120</f>
        <v>0</v>
      </c>
      <c r="BS112" s="28">
        <f>'FY21 Final Initial $$'!BS112/'FY21 FTE'!BS$120</f>
        <v>0</v>
      </c>
      <c r="BT112" s="28">
        <f>'FY21 Final Initial $$'!BT112/'FY21 FTE'!BT$120</f>
        <v>0</v>
      </c>
      <c r="BU112" s="28">
        <f>'FY21 Final Initial $$'!BU112/'FY21 FTE'!BU$120</f>
        <v>0</v>
      </c>
      <c r="BV112" s="28">
        <f>'FY21 Final Initial $$'!BV112/'FY21 FTE'!BV$120</f>
        <v>0</v>
      </c>
      <c r="BW112" s="28">
        <f>'FY21 Final Initial $$'!BW112/'FY21 FTE'!BW$120</f>
        <v>0</v>
      </c>
      <c r="BX112" s="20">
        <v>0</v>
      </c>
      <c r="BY112" s="20">
        <v>0</v>
      </c>
      <c r="BZ112" s="20">
        <v>0</v>
      </c>
      <c r="CA112" s="20">
        <v>0</v>
      </c>
      <c r="CB112" s="28">
        <f>'FY21 Final Initial $$'!CB112/'FY21 FTE'!CB$120</f>
        <v>0</v>
      </c>
      <c r="CC112" s="28">
        <f>'FY21 Final Initial $$'!CC112/'FY21 FTE'!CC$120</f>
        <v>0</v>
      </c>
      <c r="CD112" s="20">
        <v>0</v>
      </c>
      <c r="CE112" s="28">
        <f>'FY21 Final Initial $$'!CE112/'FY21 FTE'!CE$120</f>
        <v>0</v>
      </c>
      <c r="CF112" s="28">
        <f>'FY21 Final Initial $$'!CF112/'FY21 FTE'!CF$120</f>
        <v>0</v>
      </c>
      <c r="CG112" s="28">
        <f>'FY21 Final Initial $$'!CG112/'FY21 FTE'!CG$120</f>
        <v>0</v>
      </c>
      <c r="CH112" s="28">
        <f>'FY21 Final Initial $$'!CH112/'FY21 FTE'!CH$120</f>
        <v>0</v>
      </c>
      <c r="CI112" s="28">
        <f>'FY21 Final Initial $$'!CI112/'FY21 FTE'!CI$120</f>
        <v>0</v>
      </c>
      <c r="CJ112" s="28">
        <f>'FY21 Final Initial $$'!CJ112/'FY21 FTE'!CJ$120</f>
        <v>0</v>
      </c>
      <c r="CK112" s="28">
        <f>'FY21 Final Initial $$'!CK112/'FY21 FTE'!CK$120</f>
        <v>0</v>
      </c>
      <c r="CL112" s="28">
        <f>'FY21 Final Initial $$'!CL112/'FY21 FTE'!CL$120</f>
        <v>0</v>
      </c>
      <c r="CM112" s="20">
        <v>0</v>
      </c>
      <c r="CN112" s="20">
        <v>0</v>
      </c>
      <c r="CO112" s="20">
        <v>111843.51999999999</v>
      </c>
      <c r="CP112" s="20">
        <v>0</v>
      </c>
      <c r="CQ112" s="28">
        <f>'FY21 Final Initial $$'!CQ112/'FY21 FTE'!CQ$120</f>
        <v>0</v>
      </c>
      <c r="CR112" s="20">
        <v>0</v>
      </c>
      <c r="CS112" s="20">
        <v>2540</v>
      </c>
      <c r="CT112" s="20">
        <v>0</v>
      </c>
      <c r="CU112" s="20">
        <v>24814.869565217392</v>
      </c>
      <c r="CV112" s="28">
        <f>'FY21 Final Initial $$'!CV112/'FY21 FTE'!CV$120</f>
        <v>0</v>
      </c>
      <c r="CW112" s="28">
        <f>'FY21 Final Initial $$'!CW112/'FY21 FTE'!CW$120</f>
        <v>0</v>
      </c>
      <c r="CX112" s="20">
        <v>0</v>
      </c>
      <c r="CY112" s="28">
        <f>'FY21 Final Initial $$'!CY112/'FY21 FTE'!CY$120</f>
        <v>0</v>
      </c>
      <c r="CZ112" s="20">
        <v>0</v>
      </c>
      <c r="DA112" s="20">
        <v>0</v>
      </c>
      <c r="DB112" s="20">
        <v>45600</v>
      </c>
      <c r="DC112" s="20">
        <v>70185.051242585832</v>
      </c>
      <c r="DD112" s="20">
        <v>128096.60623655468</v>
      </c>
      <c r="DE112" s="20">
        <v>0</v>
      </c>
      <c r="DF112" s="20">
        <v>0</v>
      </c>
      <c r="DG112" s="20">
        <v>0</v>
      </c>
      <c r="DH112" s="28">
        <f>'FY21 Final Initial $$'!DH112/'FY21 FTE'!DH$120</f>
        <v>0</v>
      </c>
      <c r="DI112" s="20"/>
      <c r="DJ112" s="20">
        <v>20349.999848380685</v>
      </c>
      <c r="DK112" s="22">
        <v>0</v>
      </c>
      <c r="DL112" s="20">
        <v>0</v>
      </c>
      <c r="DM112" s="20">
        <v>0</v>
      </c>
      <c r="DN112" s="20">
        <v>4773899.9998483807</v>
      </c>
      <c r="DO112" s="29">
        <f t="shared" si="6"/>
        <v>0</v>
      </c>
      <c r="DP112" s="29">
        <f t="shared" si="6"/>
        <v>0</v>
      </c>
      <c r="DQ112" s="29">
        <f t="shared" si="7"/>
        <v>20.000000000000007</v>
      </c>
      <c r="DR112" s="29">
        <f t="shared" si="8"/>
        <v>5.6363636363636367</v>
      </c>
      <c r="DS112" s="29">
        <f t="shared" si="9"/>
        <v>0</v>
      </c>
    </row>
    <row r="113" spans="1:123" x14ac:dyDescent="0.25">
      <c r="A113" s="18">
        <v>336</v>
      </c>
      <c r="B113" t="s">
        <v>254</v>
      </c>
      <c r="C113" t="s">
        <v>135</v>
      </c>
      <c r="D113">
        <v>4</v>
      </c>
      <c r="E113">
        <v>355</v>
      </c>
      <c r="F113" s="19">
        <f t="shared" si="5"/>
        <v>0.46760563380281689</v>
      </c>
      <c r="G113">
        <v>166</v>
      </c>
      <c r="H113" s="28">
        <f>'FY21 Final Initial $$'!H113/'FY21 FTE'!H$120</f>
        <v>1</v>
      </c>
      <c r="I113" s="28">
        <f>'FY21 Final Initial $$'!I113/'FY21 FTE'!I$120</f>
        <v>1</v>
      </c>
      <c r="J113" s="28">
        <f>'FY21 Final Initial $$'!J113/'FY21 FTE'!J$120</f>
        <v>0.89999999999999991</v>
      </c>
      <c r="K113" s="28">
        <f>'FY21 Final Initial $$'!K113/'FY21 FTE'!K$120</f>
        <v>0</v>
      </c>
      <c r="L113" s="28">
        <f>'FY21 Final Initial $$'!L113/'FY21 FTE'!L$120</f>
        <v>0</v>
      </c>
      <c r="M113" s="28">
        <f>'FY21 Final Initial $$'!M113/'FY21 FTE'!M$120</f>
        <v>1</v>
      </c>
      <c r="N113" s="28">
        <f>'FY21 Final Initial $$'!N113/'FY21 FTE'!N$120</f>
        <v>1</v>
      </c>
      <c r="O113" s="28">
        <f>'FY21 Final Initial $$'!O113/'FY21 FTE'!O$120</f>
        <v>0</v>
      </c>
      <c r="P113" s="28">
        <f>'FY21 Final Initial $$'!P113/'FY21 FTE'!P$120</f>
        <v>0</v>
      </c>
      <c r="Q113" s="28">
        <f>'FY21 Final Initial $$'!Q113/'FY21 FTE'!Q$120</f>
        <v>0</v>
      </c>
      <c r="R113" s="28">
        <f>'FY21 Final Initial $$'!R113/'FY21 FTE'!R$120</f>
        <v>0</v>
      </c>
      <c r="S113" s="28">
        <f>'FY21 Final Initial $$'!S113/'FY21 FTE'!S$120</f>
        <v>1</v>
      </c>
      <c r="T113" s="28">
        <f>'FY21 Final Initial $$'!T113/'FY21 FTE'!T$120</f>
        <v>1</v>
      </c>
      <c r="U113" s="28">
        <f>'FY21 Final Initial $$'!U113/'FY21 FTE'!U$120</f>
        <v>2</v>
      </c>
      <c r="V113" s="28">
        <f>'FY21 Final Initial $$'!V113/'FY21 FTE'!V$120</f>
        <v>1</v>
      </c>
      <c r="W113" s="28">
        <f>'FY21 Final Initial $$'!W113/'FY21 FTE'!W$120</f>
        <v>1</v>
      </c>
      <c r="X113" s="28">
        <f>'FY21 Final Initial $$'!X113/'FY21 FTE'!X$120</f>
        <v>1</v>
      </c>
      <c r="Y113" s="28">
        <f>'FY21 Final Initial $$'!Y113/'FY21 FTE'!Y$120</f>
        <v>1</v>
      </c>
      <c r="Z113" s="28">
        <f>'FY21 Final Initial $$'!Z113/'FY21 FTE'!Z$120</f>
        <v>0</v>
      </c>
      <c r="AA113" s="28">
        <f>'FY21 Final Initial $$'!AA113/'FY21 FTE'!AA$120</f>
        <v>0</v>
      </c>
      <c r="AB113" s="28">
        <f>'FY21 Final Initial $$'!AB113/'FY21 FTE'!AB$120</f>
        <v>3</v>
      </c>
      <c r="AC113" s="28">
        <f>'FY21 Final Initial $$'!AC113/'FY21 FTE'!AC$120</f>
        <v>3</v>
      </c>
      <c r="AD113" s="28">
        <f>'FY21 Final Initial $$'!AD113/'FY21 FTE'!AD$120</f>
        <v>0</v>
      </c>
      <c r="AE113" s="28">
        <f>'FY21 Final Initial $$'!AE113/'FY21 FTE'!AE$120</f>
        <v>0</v>
      </c>
      <c r="AF113" s="28">
        <f>'FY21 Final Initial $$'!AF113/'FY21 FTE'!AF$120</f>
        <v>2</v>
      </c>
      <c r="AG113" s="28">
        <f>'FY21 Final Initial $$'!AG113/'FY21 FTE'!AG$120</f>
        <v>2</v>
      </c>
      <c r="AH113" s="28">
        <f>'FY21 Final Initial $$'!AH113/'FY21 FTE'!AH$120</f>
        <v>2</v>
      </c>
      <c r="AI113" s="28">
        <f>'FY21 Final Initial $$'!AI113/'FY21 FTE'!AI$120</f>
        <v>2</v>
      </c>
      <c r="AJ113" s="28">
        <f>'FY21 Final Initial $$'!AJ113/'FY21 FTE'!AJ$120</f>
        <v>3</v>
      </c>
      <c r="AK113" s="28">
        <f>'FY21 Final Initial $$'!AK113/'FY21 FTE'!AK$120</f>
        <v>2</v>
      </c>
      <c r="AL113" s="28">
        <f>'FY21 Final Initial $$'!AL113/'FY21 FTE'!AL$120</f>
        <v>2</v>
      </c>
      <c r="AM113" s="28">
        <f>'FY21 Final Initial $$'!AM113/'FY21 FTE'!AM$120</f>
        <v>2</v>
      </c>
      <c r="AN113" s="28">
        <f>'FY21 Final Initial $$'!AN113/'FY21 FTE'!AN$120</f>
        <v>2.0000000000000027</v>
      </c>
      <c r="AO113" s="28">
        <f>'FY21 Final Initial $$'!AO113/'FY21 FTE'!AO$120</f>
        <v>0</v>
      </c>
      <c r="AP113" s="28">
        <f>'FY21 Final Initial $$'!AP113/'FY21 FTE'!AP$120</f>
        <v>0</v>
      </c>
      <c r="AQ113" s="28">
        <f>'FY21 Final Initial $$'!AQ113/'FY21 FTE'!AQ$120</f>
        <v>1.5</v>
      </c>
      <c r="AR113" s="28">
        <f>'FY21 Final Initial $$'!AR113/'FY21 FTE'!AR$120</f>
        <v>0</v>
      </c>
      <c r="AS113" s="28">
        <f>'FY21 Final Initial $$'!AS113/'FY21 FTE'!AS$120</f>
        <v>0</v>
      </c>
      <c r="AT113" s="28">
        <f>'FY21 Final Initial $$'!AT113/'FY21 FTE'!AT$120</f>
        <v>0</v>
      </c>
      <c r="AU113" s="28">
        <f>'FY21 Final Initial $$'!AU113/'FY21 FTE'!AU$120</f>
        <v>0</v>
      </c>
      <c r="AV113" s="28">
        <f>'FY21 Final Initial $$'!AV113/'FY21 FTE'!AV$120</f>
        <v>0</v>
      </c>
      <c r="AW113" s="28">
        <f>'FY21 Final Initial $$'!AW113/'FY21 FTE'!AW$120</f>
        <v>0</v>
      </c>
      <c r="AX113" s="28">
        <f>'FY21 Final Initial $$'!AX113/'FY21 FTE'!AX$120</f>
        <v>0</v>
      </c>
      <c r="AY113" s="28">
        <f>'FY21 Final Initial $$'!AY113/'FY21 FTE'!AY$120</f>
        <v>0.5</v>
      </c>
      <c r="AZ113" s="28">
        <f>'FY21 Final Initial $$'!AZ113/'FY21 FTE'!AZ$120</f>
        <v>1</v>
      </c>
      <c r="BA113" s="28">
        <f>'FY21 Final Initial $$'!BA113/'FY21 FTE'!BA$120</f>
        <v>5</v>
      </c>
      <c r="BB113" s="28">
        <f>'FY21 Final Initial $$'!BB113/'FY21 FTE'!BB$120</f>
        <v>3</v>
      </c>
      <c r="BC113" s="28">
        <f>'FY21 Final Initial $$'!BC113/'FY21 FTE'!BC$120</f>
        <v>0</v>
      </c>
      <c r="BD113" s="28">
        <f>'FY21 Final Initial $$'!BD113/'FY21 FTE'!BD$120</f>
        <v>0</v>
      </c>
      <c r="BE113" s="28">
        <f>'FY21 Final Initial $$'!BE113/'FY21 FTE'!BE$120</f>
        <v>4</v>
      </c>
      <c r="BF113" s="28">
        <f>'FY21 Final Initial $$'!BF113/'FY21 FTE'!BF$120</f>
        <v>0</v>
      </c>
      <c r="BG113" s="28">
        <f>'FY21 Final Initial $$'!BG113/'FY21 FTE'!BG$120</f>
        <v>0</v>
      </c>
      <c r="BH113" s="28">
        <f>'FY21 Final Initial $$'!BH113/'FY21 FTE'!BH$120</f>
        <v>4</v>
      </c>
      <c r="BI113" s="28">
        <f>'FY21 Final Initial $$'!BI113/'FY21 FTE'!BI$120</f>
        <v>2</v>
      </c>
      <c r="BJ113" s="28">
        <f>'FY21 Final Initial $$'!BJ113/'FY21 FTE'!BJ$120</f>
        <v>0</v>
      </c>
      <c r="BK113" s="20">
        <v>0</v>
      </c>
      <c r="BL113" s="20"/>
      <c r="BM113" s="20"/>
      <c r="BN113" s="20">
        <v>145751.79999999999</v>
      </c>
      <c r="BO113" s="20">
        <v>2411.3000000000002</v>
      </c>
      <c r="BP113" s="20">
        <v>0</v>
      </c>
      <c r="BQ113" s="28">
        <f>'FY21 Final Initial $$'!BQ113/'FY21 FTE'!BQ$120</f>
        <v>0</v>
      </c>
      <c r="BR113" s="28">
        <f>'FY21 Final Initial $$'!BR113/'FY21 FTE'!BR$120</f>
        <v>0</v>
      </c>
      <c r="BS113" s="28">
        <f>'FY21 Final Initial $$'!BS113/'FY21 FTE'!BS$120</f>
        <v>0</v>
      </c>
      <c r="BT113" s="28">
        <f>'FY21 Final Initial $$'!BT113/'FY21 FTE'!BT$120</f>
        <v>0</v>
      </c>
      <c r="BU113" s="28">
        <f>'FY21 Final Initial $$'!BU113/'FY21 FTE'!BU$120</f>
        <v>0</v>
      </c>
      <c r="BV113" s="28">
        <f>'FY21 Final Initial $$'!BV113/'FY21 FTE'!BV$120</f>
        <v>0</v>
      </c>
      <c r="BW113" s="28">
        <f>'FY21 Final Initial $$'!BW113/'FY21 FTE'!BW$120</f>
        <v>0</v>
      </c>
      <c r="BX113" s="20">
        <v>0</v>
      </c>
      <c r="BY113" s="20">
        <v>0</v>
      </c>
      <c r="BZ113" s="20">
        <v>0</v>
      </c>
      <c r="CA113" s="20">
        <v>0</v>
      </c>
      <c r="CB113" s="28">
        <f>'FY21 Final Initial $$'!CB113/'FY21 FTE'!CB$120</f>
        <v>0</v>
      </c>
      <c r="CC113" s="28">
        <f>'FY21 Final Initial $$'!CC113/'FY21 FTE'!CC$120</f>
        <v>0</v>
      </c>
      <c r="CD113" s="20">
        <v>0</v>
      </c>
      <c r="CE113" s="28">
        <f>'FY21 Final Initial $$'!CE113/'FY21 FTE'!CE$120</f>
        <v>0</v>
      </c>
      <c r="CF113" s="28">
        <f>'FY21 Final Initial $$'!CF113/'FY21 FTE'!CF$120</f>
        <v>0</v>
      </c>
      <c r="CG113" s="28">
        <f>'FY21 Final Initial $$'!CG113/'FY21 FTE'!CG$120</f>
        <v>0</v>
      </c>
      <c r="CH113" s="28">
        <f>'FY21 Final Initial $$'!CH113/'FY21 FTE'!CH$120</f>
        <v>0</v>
      </c>
      <c r="CI113" s="28">
        <f>'FY21 Final Initial $$'!CI113/'FY21 FTE'!CI$120</f>
        <v>0</v>
      </c>
      <c r="CJ113" s="28">
        <f>'FY21 Final Initial $$'!CJ113/'FY21 FTE'!CJ$120</f>
        <v>0</v>
      </c>
      <c r="CK113" s="28">
        <f>'FY21 Final Initial $$'!CK113/'FY21 FTE'!CK$120</f>
        <v>0</v>
      </c>
      <c r="CL113" s="28">
        <f>'FY21 Final Initial $$'!CL113/'FY21 FTE'!CL$120</f>
        <v>0</v>
      </c>
      <c r="CM113" s="20">
        <v>0</v>
      </c>
      <c r="CN113" s="20">
        <v>0</v>
      </c>
      <c r="CO113" s="20">
        <v>111843.51999999999</v>
      </c>
      <c r="CP113" s="20">
        <v>0</v>
      </c>
      <c r="CQ113" s="28">
        <f>'FY21 Final Initial $$'!CQ113/'FY21 FTE'!CQ$120</f>
        <v>0</v>
      </c>
      <c r="CR113" s="20">
        <v>0</v>
      </c>
      <c r="CS113" s="20">
        <v>3320</v>
      </c>
      <c r="CT113" s="20">
        <v>0</v>
      </c>
      <c r="CU113" s="20">
        <v>19922</v>
      </c>
      <c r="CV113" s="28">
        <f>'FY21 Final Initial $$'!CV113/'FY21 FTE'!CV$120</f>
        <v>0</v>
      </c>
      <c r="CW113" s="28">
        <f>'FY21 Final Initial $$'!CW113/'FY21 FTE'!CW$120</f>
        <v>0</v>
      </c>
      <c r="CX113" s="20">
        <v>0</v>
      </c>
      <c r="CY113" s="28">
        <f>'FY21 Final Initial $$'!CY113/'FY21 FTE'!CY$120</f>
        <v>0</v>
      </c>
      <c r="CZ113" s="20">
        <v>0</v>
      </c>
      <c r="DA113" s="20">
        <v>0</v>
      </c>
      <c r="DB113" s="20">
        <v>35500</v>
      </c>
      <c r="DC113" s="20">
        <v>79390.49332533298</v>
      </c>
      <c r="DD113" s="20">
        <v>0</v>
      </c>
      <c r="DE113" s="20">
        <v>0</v>
      </c>
      <c r="DF113" s="20">
        <v>0</v>
      </c>
      <c r="DG113" s="20">
        <v>0</v>
      </c>
      <c r="DH113" s="28">
        <f>'FY21 Final Initial $$'!DH113/'FY21 FTE'!DH$120</f>
        <v>0</v>
      </c>
      <c r="DI113" s="20"/>
      <c r="DJ113" s="20">
        <v>14024.999870918691</v>
      </c>
      <c r="DK113" s="22">
        <v>0</v>
      </c>
      <c r="DL113" s="20">
        <v>112172.32214180731</v>
      </c>
      <c r="DM113" s="20">
        <v>50000</v>
      </c>
      <c r="DN113" s="20">
        <v>5602082.9772842098</v>
      </c>
      <c r="DO113" s="29">
        <f t="shared" si="6"/>
        <v>7</v>
      </c>
      <c r="DP113" s="29">
        <f t="shared" si="6"/>
        <v>7</v>
      </c>
      <c r="DQ113" s="29">
        <f t="shared" si="7"/>
        <v>12.500000000000004</v>
      </c>
      <c r="DR113" s="29">
        <f t="shared" si="8"/>
        <v>10.5</v>
      </c>
      <c r="DS113" s="29">
        <f t="shared" si="9"/>
        <v>3</v>
      </c>
    </row>
    <row r="114" spans="1:123" x14ac:dyDescent="0.25">
      <c r="A114" s="18">
        <v>335</v>
      </c>
      <c r="B114" t="s">
        <v>255</v>
      </c>
      <c r="C114" t="s">
        <v>150</v>
      </c>
      <c r="D114">
        <v>5</v>
      </c>
      <c r="E114">
        <v>362</v>
      </c>
      <c r="F114" s="19">
        <f t="shared" si="5"/>
        <v>0.71546961325966851</v>
      </c>
      <c r="G114">
        <v>259</v>
      </c>
      <c r="H114" s="28">
        <f>'FY21 Final Initial $$'!H114/'FY21 FTE'!H$120</f>
        <v>1</v>
      </c>
      <c r="I114" s="28">
        <f>'FY21 Final Initial $$'!I114/'FY21 FTE'!I$120</f>
        <v>1</v>
      </c>
      <c r="J114" s="28">
        <f>'FY21 Final Initial $$'!J114/'FY21 FTE'!J$120</f>
        <v>0.3</v>
      </c>
      <c r="K114" s="28">
        <f>'FY21 Final Initial $$'!K114/'FY21 FTE'!K$120</f>
        <v>1</v>
      </c>
      <c r="L114" s="28">
        <f>'FY21 Final Initial $$'!L114/'FY21 FTE'!L$120</f>
        <v>0</v>
      </c>
      <c r="M114" s="28">
        <f>'FY21 Final Initial $$'!M114/'FY21 FTE'!M$120</f>
        <v>1</v>
      </c>
      <c r="N114" s="28">
        <f>'FY21 Final Initial $$'!N114/'FY21 FTE'!N$120</f>
        <v>1</v>
      </c>
      <c r="O114" s="28">
        <f>'FY21 Final Initial $$'!O114/'FY21 FTE'!O$120</f>
        <v>0</v>
      </c>
      <c r="P114" s="28">
        <f>'FY21 Final Initial $$'!P114/'FY21 FTE'!P$120</f>
        <v>0</v>
      </c>
      <c r="Q114" s="28">
        <f>'FY21 Final Initial $$'!Q114/'FY21 FTE'!Q$120</f>
        <v>0</v>
      </c>
      <c r="R114" s="28">
        <f>'FY21 Final Initial $$'!R114/'FY21 FTE'!R$120</f>
        <v>0</v>
      </c>
      <c r="S114" s="28">
        <f>'FY21 Final Initial $$'!S114/'FY21 FTE'!S$120</f>
        <v>1</v>
      </c>
      <c r="T114" s="28">
        <f>'FY21 Final Initial $$'!T114/'FY21 FTE'!T$120</f>
        <v>1</v>
      </c>
      <c r="U114" s="28">
        <f>'FY21 Final Initial $$'!U114/'FY21 FTE'!U$120</f>
        <v>2</v>
      </c>
      <c r="V114" s="28">
        <f>'FY21 Final Initial $$'!V114/'FY21 FTE'!V$120</f>
        <v>1</v>
      </c>
      <c r="W114" s="28">
        <f>'FY21 Final Initial $$'!W114/'FY21 FTE'!W$120</f>
        <v>1</v>
      </c>
      <c r="X114" s="28">
        <f>'FY21 Final Initial $$'!X114/'FY21 FTE'!X$120</f>
        <v>1</v>
      </c>
      <c r="Y114" s="28">
        <f>'FY21 Final Initial $$'!Y114/'FY21 FTE'!Y$120</f>
        <v>1</v>
      </c>
      <c r="Z114" s="28">
        <f>'FY21 Final Initial $$'!Z114/'FY21 FTE'!Z$120</f>
        <v>0</v>
      </c>
      <c r="AA114" s="28">
        <f>'FY21 Final Initial $$'!AA114/'FY21 FTE'!AA$120</f>
        <v>0.99999999999999867</v>
      </c>
      <c r="AB114" s="28">
        <f>'FY21 Final Initial $$'!AB114/'FY21 FTE'!AB$120</f>
        <v>1</v>
      </c>
      <c r="AC114" s="28">
        <f>'FY21 Final Initial $$'!AC114/'FY21 FTE'!AC$120</f>
        <v>1</v>
      </c>
      <c r="AD114" s="28">
        <f>'FY21 Final Initial $$'!AD114/'FY21 FTE'!AD$120</f>
        <v>3</v>
      </c>
      <c r="AE114" s="28">
        <f>'FY21 Final Initial $$'!AE114/'FY21 FTE'!AE$120</f>
        <v>3</v>
      </c>
      <c r="AF114" s="28">
        <f>'FY21 Final Initial $$'!AF114/'FY21 FTE'!AF$120</f>
        <v>1</v>
      </c>
      <c r="AG114" s="28">
        <f>'FY21 Final Initial $$'!AG114/'FY21 FTE'!AG$120</f>
        <v>1</v>
      </c>
      <c r="AH114" s="28">
        <f>'FY21 Final Initial $$'!AH114/'FY21 FTE'!AH$120</f>
        <v>2</v>
      </c>
      <c r="AI114" s="28">
        <f>'FY21 Final Initial $$'!AI114/'FY21 FTE'!AI$120</f>
        <v>2</v>
      </c>
      <c r="AJ114" s="28">
        <f>'FY21 Final Initial $$'!AJ114/'FY21 FTE'!AJ$120</f>
        <v>1</v>
      </c>
      <c r="AK114" s="28">
        <f>'FY21 Final Initial $$'!AK114/'FY21 FTE'!AK$120</f>
        <v>2</v>
      </c>
      <c r="AL114" s="28">
        <f>'FY21 Final Initial $$'!AL114/'FY21 FTE'!AL$120</f>
        <v>1</v>
      </c>
      <c r="AM114" s="28">
        <f>'FY21 Final Initial $$'!AM114/'FY21 FTE'!AM$120</f>
        <v>2</v>
      </c>
      <c r="AN114" s="28">
        <f>'FY21 Final Initial $$'!AN114/'FY21 FTE'!AN$120</f>
        <v>1.0000000000000013</v>
      </c>
      <c r="AO114" s="28">
        <f>'FY21 Final Initial $$'!AO114/'FY21 FTE'!AO$120</f>
        <v>1.6</v>
      </c>
      <c r="AP114" s="28">
        <f>'FY21 Final Initial $$'!AP114/'FY21 FTE'!AP$120</f>
        <v>1.5</v>
      </c>
      <c r="AQ114" s="28">
        <f>'FY21 Final Initial $$'!AQ114/'FY21 FTE'!AQ$120</f>
        <v>1.3</v>
      </c>
      <c r="AR114" s="28">
        <f>'FY21 Final Initial $$'!AR114/'FY21 FTE'!AR$120</f>
        <v>0</v>
      </c>
      <c r="AS114" s="28">
        <f>'FY21 Final Initial $$'!AS114/'FY21 FTE'!AS$120</f>
        <v>0</v>
      </c>
      <c r="AT114" s="28">
        <f>'FY21 Final Initial $$'!AT114/'FY21 FTE'!AT$120</f>
        <v>0</v>
      </c>
      <c r="AU114" s="28">
        <f>'FY21 Final Initial $$'!AU114/'FY21 FTE'!AU$120</f>
        <v>0</v>
      </c>
      <c r="AV114" s="28">
        <f>'FY21 Final Initial $$'!AV114/'FY21 FTE'!AV$120</f>
        <v>0</v>
      </c>
      <c r="AW114" s="28">
        <f>'FY21 Final Initial $$'!AW114/'FY21 FTE'!AW$120</f>
        <v>0</v>
      </c>
      <c r="AX114" s="28">
        <f>'FY21 Final Initial $$'!AX114/'FY21 FTE'!AX$120</f>
        <v>0</v>
      </c>
      <c r="AY114" s="28">
        <f>'FY21 Final Initial $$'!AY114/'FY21 FTE'!AY$120</f>
        <v>1</v>
      </c>
      <c r="AZ114" s="28">
        <f>'FY21 Final Initial $$'!AZ114/'FY21 FTE'!AZ$120</f>
        <v>3</v>
      </c>
      <c r="BA114" s="28">
        <f>'FY21 Final Initial $$'!BA114/'FY21 FTE'!BA$120</f>
        <v>9</v>
      </c>
      <c r="BB114" s="28">
        <f>'FY21 Final Initial $$'!BB114/'FY21 FTE'!BB$120</f>
        <v>2</v>
      </c>
      <c r="BC114" s="28">
        <f>'FY21 Final Initial $$'!BC114/'FY21 FTE'!BC$120</f>
        <v>0</v>
      </c>
      <c r="BD114" s="28">
        <f>'FY21 Final Initial $$'!BD114/'FY21 FTE'!BD$120</f>
        <v>0</v>
      </c>
      <c r="BE114" s="28">
        <f>'FY21 Final Initial $$'!BE114/'FY21 FTE'!BE$120</f>
        <v>2</v>
      </c>
      <c r="BF114" s="28">
        <f>'FY21 Final Initial $$'!BF114/'FY21 FTE'!BF$120</f>
        <v>0</v>
      </c>
      <c r="BG114" s="28">
        <f>'FY21 Final Initial $$'!BG114/'FY21 FTE'!BG$120</f>
        <v>0</v>
      </c>
      <c r="BH114" s="28">
        <f>'FY21 Final Initial $$'!BH114/'FY21 FTE'!BH$120</f>
        <v>3</v>
      </c>
      <c r="BI114" s="28">
        <f>'FY21 Final Initial $$'!BI114/'FY21 FTE'!BI$120</f>
        <v>1</v>
      </c>
      <c r="BJ114" s="28">
        <f>'FY21 Final Initial $$'!BJ114/'FY21 FTE'!BJ$120</f>
        <v>0</v>
      </c>
      <c r="BK114" s="20">
        <v>0</v>
      </c>
      <c r="BL114" s="20"/>
      <c r="BM114" s="20"/>
      <c r="BN114" s="20">
        <v>150439.72</v>
      </c>
      <c r="BO114" s="20">
        <v>2488.86</v>
      </c>
      <c r="BP114" s="20">
        <v>0</v>
      </c>
      <c r="BQ114" s="28">
        <f>'FY21 Final Initial $$'!BQ114/'FY21 FTE'!BQ$120</f>
        <v>0</v>
      </c>
      <c r="BR114" s="28">
        <f>'FY21 Final Initial $$'!BR114/'FY21 FTE'!BR$120</f>
        <v>0</v>
      </c>
      <c r="BS114" s="28">
        <f>'FY21 Final Initial $$'!BS114/'FY21 FTE'!BS$120</f>
        <v>0</v>
      </c>
      <c r="BT114" s="28">
        <f>'FY21 Final Initial $$'!BT114/'FY21 FTE'!BT$120</f>
        <v>0</v>
      </c>
      <c r="BU114" s="28">
        <f>'FY21 Final Initial $$'!BU114/'FY21 FTE'!BU$120</f>
        <v>0</v>
      </c>
      <c r="BV114" s="28">
        <f>'FY21 Final Initial $$'!BV114/'FY21 FTE'!BV$120</f>
        <v>0</v>
      </c>
      <c r="BW114" s="28">
        <f>'FY21 Final Initial $$'!BW114/'FY21 FTE'!BW$120</f>
        <v>0</v>
      </c>
      <c r="BX114" s="20">
        <v>0</v>
      </c>
      <c r="BY114" s="20">
        <v>0</v>
      </c>
      <c r="BZ114" s="20">
        <v>0</v>
      </c>
      <c r="CA114" s="20">
        <v>0</v>
      </c>
      <c r="CB114" s="28">
        <f>'FY21 Final Initial $$'!CB114/'FY21 FTE'!CB$120</f>
        <v>0</v>
      </c>
      <c r="CC114" s="28">
        <f>'FY21 Final Initial $$'!CC114/'FY21 FTE'!CC$120</f>
        <v>0</v>
      </c>
      <c r="CD114" s="20">
        <v>0</v>
      </c>
      <c r="CE114" s="28">
        <f>'FY21 Final Initial $$'!CE114/'FY21 FTE'!CE$120</f>
        <v>0</v>
      </c>
      <c r="CF114" s="28">
        <f>'FY21 Final Initial $$'!CF114/'FY21 FTE'!CF$120</f>
        <v>0</v>
      </c>
      <c r="CG114" s="28">
        <f>'FY21 Final Initial $$'!CG114/'FY21 FTE'!CG$120</f>
        <v>0</v>
      </c>
      <c r="CH114" s="28">
        <f>'FY21 Final Initial $$'!CH114/'FY21 FTE'!CH$120</f>
        <v>0</v>
      </c>
      <c r="CI114" s="28">
        <f>'FY21 Final Initial $$'!CI114/'FY21 FTE'!CI$120</f>
        <v>0</v>
      </c>
      <c r="CJ114" s="28">
        <f>'FY21 Final Initial $$'!CJ114/'FY21 FTE'!CJ$120</f>
        <v>0</v>
      </c>
      <c r="CK114" s="28">
        <f>'FY21 Final Initial $$'!CK114/'FY21 FTE'!CK$120</f>
        <v>2</v>
      </c>
      <c r="CL114" s="28">
        <f>'FY21 Final Initial $$'!CL114/'FY21 FTE'!CL$120</f>
        <v>0</v>
      </c>
      <c r="CM114" s="20">
        <v>23000</v>
      </c>
      <c r="CN114" s="20">
        <v>5000</v>
      </c>
      <c r="CO114" s="20">
        <v>244045.91999999998</v>
      </c>
      <c r="CP114" s="20">
        <v>100000</v>
      </c>
      <c r="CQ114" s="28">
        <f>'FY21 Final Initial $$'!CQ114/'FY21 FTE'!CQ$120</f>
        <v>0</v>
      </c>
      <c r="CR114" s="20">
        <v>0</v>
      </c>
      <c r="CS114" s="20">
        <v>5180</v>
      </c>
      <c r="CT114" s="20">
        <v>72000</v>
      </c>
      <c r="CU114" s="20">
        <v>22536.44</v>
      </c>
      <c r="CV114" s="28">
        <f>'FY21 Final Initial $$'!CV114/'FY21 FTE'!CV$120</f>
        <v>0</v>
      </c>
      <c r="CW114" s="28">
        <f>'FY21 Final Initial $$'!CW114/'FY21 FTE'!CW$120</f>
        <v>0</v>
      </c>
      <c r="CX114" s="20">
        <v>0</v>
      </c>
      <c r="CY114" s="28">
        <f>'FY21 Final Initial $$'!CY114/'FY21 FTE'!CY$120</f>
        <v>0</v>
      </c>
      <c r="CZ114" s="20">
        <v>0</v>
      </c>
      <c r="DA114" s="20">
        <v>0</v>
      </c>
      <c r="DB114" s="20">
        <v>36200</v>
      </c>
      <c r="DC114" s="20">
        <v>93356.203198882431</v>
      </c>
      <c r="DD114" s="20">
        <v>0</v>
      </c>
      <c r="DE114" s="20">
        <v>0</v>
      </c>
      <c r="DF114" s="20">
        <v>0</v>
      </c>
      <c r="DG114" s="20">
        <v>0</v>
      </c>
      <c r="DH114" s="28">
        <f>'FY21 Final Initial $$'!DH114/'FY21 FTE'!DH$120</f>
        <v>0</v>
      </c>
      <c r="DI114" s="20"/>
      <c r="DJ114" s="20">
        <v>24050.000881403685</v>
      </c>
      <c r="DK114" s="22">
        <v>0</v>
      </c>
      <c r="DL114" s="20">
        <v>0</v>
      </c>
      <c r="DM114" s="20">
        <v>0</v>
      </c>
      <c r="DN114" s="20">
        <v>6472839.0818990711</v>
      </c>
      <c r="DO114" s="29">
        <f t="shared" si="6"/>
        <v>7</v>
      </c>
      <c r="DP114" s="29">
        <f t="shared" si="6"/>
        <v>7</v>
      </c>
      <c r="DQ114" s="29">
        <f t="shared" si="7"/>
        <v>11.400000000000002</v>
      </c>
      <c r="DR114" s="29">
        <f t="shared" si="8"/>
        <v>15</v>
      </c>
      <c r="DS114" s="29">
        <f t="shared" si="9"/>
        <v>2</v>
      </c>
    </row>
    <row r="115" spans="1:123" x14ac:dyDescent="0.25">
      <c r="A115" s="18">
        <v>338</v>
      </c>
      <c r="B115" t="s">
        <v>256</v>
      </c>
      <c r="C115" t="s">
        <v>150</v>
      </c>
      <c r="D115">
        <v>4</v>
      </c>
      <c r="E115">
        <v>378</v>
      </c>
      <c r="F115" s="19">
        <f t="shared" si="5"/>
        <v>0.57936507936507942</v>
      </c>
      <c r="G115">
        <v>219</v>
      </c>
      <c r="H115" s="28">
        <f>'FY21 Final Initial $$'!H115/'FY21 FTE'!H$120</f>
        <v>1</v>
      </c>
      <c r="I115" s="28">
        <f>'FY21 Final Initial $$'!I115/'FY21 FTE'!I$120</f>
        <v>1</v>
      </c>
      <c r="J115" s="28">
        <f>'FY21 Final Initial $$'!J115/'FY21 FTE'!J$120</f>
        <v>1</v>
      </c>
      <c r="K115" s="28">
        <f>'FY21 Final Initial $$'!K115/'FY21 FTE'!K$120</f>
        <v>1</v>
      </c>
      <c r="L115" s="28">
        <f>'FY21 Final Initial $$'!L115/'FY21 FTE'!L$120</f>
        <v>0</v>
      </c>
      <c r="M115" s="28">
        <f>'FY21 Final Initial $$'!M115/'FY21 FTE'!M$120</f>
        <v>1</v>
      </c>
      <c r="N115" s="28">
        <f>'FY21 Final Initial $$'!N115/'FY21 FTE'!N$120</f>
        <v>1</v>
      </c>
      <c r="O115" s="28">
        <f>'FY21 Final Initial $$'!O115/'FY21 FTE'!O$120</f>
        <v>0</v>
      </c>
      <c r="P115" s="28">
        <f>'FY21 Final Initial $$'!P115/'FY21 FTE'!P$120</f>
        <v>0</v>
      </c>
      <c r="Q115" s="28">
        <f>'FY21 Final Initial $$'!Q115/'FY21 FTE'!Q$120</f>
        <v>0</v>
      </c>
      <c r="R115" s="28">
        <f>'FY21 Final Initial $$'!R115/'FY21 FTE'!R$120</f>
        <v>0</v>
      </c>
      <c r="S115" s="28">
        <f>'FY21 Final Initial $$'!S115/'FY21 FTE'!S$120</f>
        <v>1</v>
      </c>
      <c r="T115" s="28">
        <f>'FY21 Final Initial $$'!T115/'FY21 FTE'!T$120</f>
        <v>1</v>
      </c>
      <c r="U115" s="28">
        <f>'FY21 Final Initial $$'!U115/'FY21 FTE'!U$120</f>
        <v>2</v>
      </c>
      <c r="V115" s="28">
        <f>'FY21 Final Initial $$'!V115/'FY21 FTE'!V$120</f>
        <v>1</v>
      </c>
      <c r="W115" s="28">
        <f>'FY21 Final Initial $$'!W115/'FY21 FTE'!W$120</f>
        <v>1</v>
      </c>
      <c r="X115" s="28">
        <f>'FY21 Final Initial $$'!X115/'FY21 FTE'!X$120</f>
        <v>1</v>
      </c>
      <c r="Y115" s="28">
        <f>'FY21 Final Initial $$'!Y115/'FY21 FTE'!Y$120</f>
        <v>1</v>
      </c>
      <c r="Z115" s="28">
        <f>'FY21 Final Initial $$'!Z115/'FY21 FTE'!Z$120</f>
        <v>0</v>
      </c>
      <c r="AA115" s="28">
        <f>'FY21 Final Initial $$'!AA115/'FY21 FTE'!AA$120</f>
        <v>0</v>
      </c>
      <c r="AB115" s="28">
        <f>'FY21 Final Initial $$'!AB115/'FY21 FTE'!AB$120</f>
        <v>1</v>
      </c>
      <c r="AC115" s="28">
        <f>'FY21 Final Initial $$'!AC115/'FY21 FTE'!AC$120</f>
        <v>1</v>
      </c>
      <c r="AD115" s="28">
        <f>'FY21 Final Initial $$'!AD115/'FY21 FTE'!AD$120</f>
        <v>2</v>
      </c>
      <c r="AE115" s="28">
        <f>'FY21 Final Initial $$'!AE115/'FY21 FTE'!AE$120</f>
        <v>2</v>
      </c>
      <c r="AF115" s="28">
        <f>'FY21 Final Initial $$'!AF115/'FY21 FTE'!AF$120</f>
        <v>1</v>
      </c>
      <c r="AG115" s="28">
        <f>'FY21 Final Initial $$'!AG115/'FY21 FTE'!AG$120</f>
        <v>1</v>
      </c>
      <c r="AH115" s="28">
        <f>'FY21 Final Initial $$'!AH115/'FY21 FTE'!AH$120</f>
        <v>3</v>
      </c>
      <c r="AI115" s="28">
        <f>'FY21 Final Initial $$'!AI115/'FY21 FTE'!AI$120</f>
        <v>3</v>
      </c>
      <c r="AJ115" s="28">
        <f>'FY21 Final Initial $$'!AJ115/'FY21 FTE'!AJ$120</f>
        <v>2</v>
      </c>
      <c r="AK115" s="28">
        <f>'FY21 Final Initial $$'!AK115/'FY21 FTE'!AK$120</f>
        <v>2</v>
      </c>
      <c r="AL115" s="28">
        <f>'FY21 Final Initial $$'!AL115/'FY21 FTE'!AL$120</f>
        <v>2</v>
      </c>
      <c r="AM115" s="28">
        <f>'FY21 Final Initial $$'!AM115/'FY21 FTE'!AM$120</f>
        <v>2</v>
      </c>
      <c r="AN115" s="28">
        <f>'FY21 Final Initial $$'!AN115/'FY21 FTE'!AN$120</f>
        <v>2.0000000000000027</v>
      </c>
      <c r="AO115" s="28">
        <f>'FY21 Final Initial $$'!AO115/'FY21 FTE'!AO$120</f>
        <v>0</v>
      </c>
      <c r="AP115" s="28">
        <f>'FY21 Final Initial $$'!AP115/'FY21 FTE'!AP$120</f>
        <v>0</v>
      </c>
      <c r="AQ115" s="28">
        <f>'FY21 Final Initial $$'!AQ115/'FY21 FTE'!AQ$120</f>
        <v>2</v>
      </c>
      <c r="AR115" s="28">
        <f>'FY21 Final Initial $$'!AR115/'FY21 FTE'!AR$120</f>
        <v>0</v>
      </c>
      <c r="AS115" s="28">
        <f>'FY21 Final Initial $$'!AS115/'FY21 FTE'!AS$120</f>
        <v>0</v>
      </c>
      <c r="AT115" s="28">
        <f>'FY21 Final Initial $$'!AT115/'FY21 FTE'!AT$120</f>
        <v>0</v>
      </c>
      <c r="AU115" s="28">
        <f>'FY21 Final Initial $$'!AU115/'FY21 FTE'!AU$120</f>
        <v>0</v>
      </c>
      <c r="AV115" s="28">
        <f>'FY21 Final Initial $$'!AV115/'FY21 FTE'!AV$120</f>
        <v>0</v>
      </c>
      <c r="AW115" s="28">
        <f>'FY21 Final Initial $$'!AW115/'FY21 FTE'!AW$120</f>
        <v>0</v>
      </c>
      <c r="AX115" s="28">
        <f>'FY21 Final Initial $$'!AX115/'FY21 FTE'!AX$120</f>
        <v>0</v>
      </c>
      <c r="AY115" s="28">
        <f>'FY21 Final Initial $$'!AY115/'FY21 FTE'!AY$120</f>
        <v>1</v>
      </c>
      <c r="AZ115" s="28">
        <f>'FY21 Final Initial $$'!AZ115/'FY21 FTE'!AZ$120</f>
        <v>1</v>
      </c>
      <c r="BA115" s="28">
        <f>'FY21 Final Initial $$'!BA115/'FY21 FTE'!BA$120</f>
        <v>10</v>
      </c>
      <c r="BB115" s="28">
        <f>'FY21 Final Initial $$'!BB115/'FY21 FTE'!BB$120</f>
        <v>9</v>
      </c>
      <c r="BC115" s="28">
        <f>'FY21 Final Initial $$'!BC115/'FY21 FTE'!BC$120</f>
        <v>0</v>
      </c>
      <c r="BD115" s="28">
        <f>'FY21 Final Initial $$'!BD115/'FY21 FTE'!BD$120</f>
        <v>1</v>
      </c>
      <c r="BE115" s="28">
        <f>'FY21 Final Initial $$'!BE115/'FY21 FTE'!BE$120</f>
        <v>6</v>
      </c>
      <c r="BF115" s="28">
        <f>'FY21 Final Initial $$'!BF115/'FY21 FTE'!BF$120</f>
        <v>0</v>
      </c>
      <c r="BG115" s="28">
        <f>'FY21 Final Initial $$'!BG115/'FY21 FTE'!BG$120</f>
        <v>1</v>
      </c>
      <c r="BH115" s="28">
        <f>'FY21 Final Initial $$'!BH115/'FY21 FTE'!BH$120</f>
        <v>4</v>
      </c>
      <c r="BI115" s="28">
        <f>'FY21 Final Initial $$'!BI115/'FY21 FTE'!BI$120</f>
        <v>2</v>
      </c>
      <c r="BJ115" s="28">
        <f>'FY21 Final Initial $$'!BJ115/'FY21 FTE'!BJ$120</f>
        <v>0</v>
      </c>
      <c r="BK115" s="20">
        <v>0</v>
      </c>
      <c r="BL115" s="20"/>
      <c r="BM115" s="20"/>
      <c r="BN115" s="20">
        <v>112316.73</v>
      </c>
      <c r="BO115" s="20">
        <v>1813.14</v>
      </c>
      <c r="BP115" s="20">
        <v>0</v>
      </c>
      <c r="BQ115" s="28">
        <f>'FY21 Final Initial $$'!BQ115/'FY21 FTE'!BQ$120</f>
        <v>0</v>
      </c>
      <c r="BR115" s="28">
        <f>'FY21 Final Initial $$'!BR115/'FY21 FTE'!BR$120</f>
        <v>0</v>
      </c>
      <c r="BS115" s="28">
        <f>'FY21 Final Initial $$'!BS115/'FY21 FTE'!BS$120</f>
        <v>0</v>
      </c>
      <c r="BT115" s="28">
        <f>'FY21 Final Initial $$'!BT115/'FY21 FTE'!BT$120</f>
        <v>0</v>
      </c>
      <c r="BU115" s="28">
        <f>'FY21 Final Initial $$'!BU115/'FY21 FTE'!BU$120</f>
        <v>0</v>
      </c>
      <c r="BV115" s="28">
        <f>'FY21 Final Initial $$'!BV115/'FY21 FTE'!BV$120</f>
        <v>0</v>
      </c>
      <c r="BW115" s="28">
        <f>'FY21 Final Initial $$'!BW115/'FY21 FTE'!BW$120</f>
        <v>0</v>
      </c>
      <c r="BX115" s="20">
        <v>0</v>
      </c>
      <c r="BY115" s="20">
        <v>0</v>
      </c>
      <c r="BZ115" s="20">
        <v>0</v>
      </c>
      <c r="CA115" s="20">
        <v>0</v>
      </c>
      <c r="CB115" s="28">
        <f>'FY21 Final Initial $$'!CB115/'FY21 FTE'!CB$120</f>
        <v>0</v>
      </c>
      <c r="CC115" s="28">
        <f>'FY21 Final Initial $$'!CC115/'FY21 FTE'!CC$120</f>
        <v>0</v>
      </c>
      <c r="CD115" s="20">
        <v>0</v>
      </c>
      <c r="CE115" s="28">
        <f>'FY21 Final Initial $$'!CE115/'FY21 FTE'!CE$120</f>
        <v>0</v>
      </c>
      <c r="CF115" s="28">
        <f>'FY21 Final Initial $$'!CF115/'FY21 FTE'!CF$120</f>
        <v>0</v>
      </c>
      <c r="CG115" s="28">
        <f>'FY21 Final Initial $$'!CG115/'FY21 FTE'!CG$120</f>
        <v>0</v>
      </c>
      <c r="CH115" s="28">
        <f>'FY21 Final Initial $$'!CH115/'FY21 FTE'!CH$120</f>
        <v>0</v>
      </c>
      <c r="CI115" s="28">
        <f>'FY21 Final Initial $$'!CI115/'FY21 FTE'!CI$120</f>
        <v>0</v>
      </c>
      <c r="CJ115" s="28">
        <f>'FY21 Final Initial $$'!CJ115/'FY21 FTE'!CJ$120</f>
        <v>0</v>
      </c>
      <c r="CK115" s="28">
        <f>'FY21 Final Initial $$'!CK115/'FY21 FTE'!CK$120</f>
        <v>2</v>
      </c>
      <c r="CL115" s="28">
        <f>'FY21 Final Initial $$'!CL115/'FY21 FTE'!CL$120</f>
        <v>0</v>
      </c>
      <c r="CM115" s="20">
        <v>23000</v>
      </c>
      <c r="CN115" s="20">
        <v>5000</v>
      </c>
      <c r="CO115" s="20">
        <v>55921.759999999995</v>
      </c>
      <c r="CP115" s="20">
        <v>100000</v>
      </c>
      <c r="CQ115" s="28">
        <f>'FY21 Final Initial $$'!CQ115/'FY21 FTE'!CQ$120</f>
        <v>0</v>
      </c>
      <c r="CR115" s="20">
        <v>0</v>
      </c>
      <c r="CS115" s="20">
        <v>4380</v>
      </c>
      <c r="CT115" s="20">
        <v>212400</v>
      </c>
      <c r="CU115" s="20">
        <v>21408.453846153847</v>
      </c>
      <c r="CV115" s="28">
        <f>'FY21 Final Initial $$'!CV115/'FY21 FTE'!CV$120</f>
        <v>0</v>
      </c>
      <c r="CW115" s="28">
        <f>'FY21 Final Initial $$'!CW115/'FY21 FTE'!CW$120</f>
        <v>0</v>
      </c>
      <c r="CX115" s="20">
        <v>0</v>
      </c>
      <c r="CY115" s="28">
        <f>'FY21 Final Initial $$'!CY115/'FY21 FTE'!CY$120</f>
        <v>0</v>
      </c>
      <c r="CZ115" s="20">
        <v>0</v>
      </c>
      <c r="DA115" s="20">
        <v>0</v>
      </c>
      <c r="DB115" s="20">
        <v>37800</v>
      </c>
      <c r="DC115" s="20">
        <v>109369.45605094651</v>
      </c>
      <c r="DD115" s="20">
        <v>0</v>
      </c>
      <c r="DE115" s="20">
        <v>0</v>
      </c>
      <c r="DF115" s="20">
        <v>0</v>
      </c>
      <c r="DG115" s="20">
        <v>0</v>
      </c>
      <c r="DH115" s="28">
        <f>'FY21 Final Initial $$'!DH115/'FY21 FTE'!DH$120</f>
        <v>0</v>
      </c>
      <c r="DI115" s="20"/>
      <c r="DJ115" s="20">
        <v>6650.0001238659024</v>
      </c>
      <c r="DK115" s="22">
        <v>0</v>
      </c>
      <c r="DL115" s="20">
        <v>0</v>
      </c>
      <c r="DM115" s="20">
        <v>0</v>
      </c>
      <c r="DN115" s="20">
        <v>7267453.4562288243</v>
      </c>
      <c r="DO115" s="29">
        <f t="shared" si="6"/>
        <v>7</v>
      </c>
      <c r="DP115" s="29">
        <f t="shared" si="6"/>
        <v>7</v>
      </c>
      <c r="DQ115" s="29">
        <f t="shared" si="7"/>
        <v>12.000000000000004</v>
      </c>
      <c r="DR115" s="29">
        <f t="shared" si="8"/>
        <v>19</v>
      </c>
      <c r="DS115" s="29">
        <f t="shared" si="9"/>
        <v>9</v>
      </c>
    </row>
    <row r="116" spans="1:123" x14ac:dyDescent="0.25">
      <c r="A116" s="18">
        <v>463</v>
      </c>
      <c r="B116" t="s">
        <v>257</v>
      </c>
      <c r="C116" t="s">
        <v>138</v>
      </c>
      <c r="D116">
        <v>3</v>
      </c>
      <c r="E116">
        <v>2015</v>
      </c>
      <c r="F116" s="19">
        <f t="shared" si="5"/>
        <v>0.31563275434243176</v>
      </c>
      <c r="G116">
        <v>636</v>
      </c>
      <c r="H116" s="28">
        <f>'FY21 Final Initial $$'!H116/'FY21 FTE'!H$120</f>
        <v>1</v>
      </c>
      <c r="I116" s="28">
        <f>'FY21 Final Initial $$'!I116/'FY21 FTE'!I$120</f>
        <v>1</v>
      </c>
      <c r="J116" s="28">
        <f>'FY21 Final Initial $$'!J116/'FY21 FTE'!J$120</f>
        <v>6.7</v>
      </c>
      <c r="K116" s="28">
        <f>'FY21 Final Initial $$'!K116/'FY21 FTE'!K$120</f>
        <v>0</v>
      </c>
      <c r="L116" s="28">
        <f>'FY21 Final Initial $$'!L116/'FY21 FTE'!L$120</f>
        <v>8.5</v>
      </c>
      <c r="M116" s="28">
        <f>'FY21 Final Initial $$'!M116/'FY21 FTE'!M$120</f>
        <v>1</v>
      </c>
      <c r="N116" s="28">
        <f>'FY21 Final Initial $$'!N116/'FY21 FTE'!N$120</f>
        <v>1</v>
      </c>
      <c r="O116" s="28">
        <f>'FY21 Final Initial $$'!O116/'FY21 FTE'!O$120</f>
        <v>5</v>
      </c>
      <c r="P116" s="28">
        <f>'FY21 Final Initial $$'!P116/'FY21 FTE'!P$120</f>
        <v>1</v>
      </c>
      <c r="Q116" s="28">
        <f>'FY21 Final Initial $$'!Q116/'FY21 FTE'!Q$120</f>
        <v>1.0000004487061702</v>
      </c>
      <c r="R116" s="28">
        <f>'FY21 Final Initial $$'!R116/'FY21 FTE'!R$120</f>
        <v>0</v>
      </c>
      <c r="S116" s="28">
        <f>'FY21 Final Initial $$'!S116/'FY21 FTE'!S$120</f>
        <v>1</v>
      </c>
      <c r="T116" s="28">
        <f>'FY21 Final Initial $$'!T116/'FY21 FTE'!T$120</f>
        <v>1</v>
      </c>
      <c r="U116" s="28">
        <f>'FY21 Final Initial $$'!U116/'FY21 FTE'!U$120</f>
        <v>12</v>
      </c>
      <c r="V116" s="28">
        <f>'FY21 Final Initial $$'!V116/'FY21 FTE'!V$120</f>
        <v>1</v>
      </c>
      <c r="W116" s="28">
        <f>'FY21 Final Initial $$'!W116/'FY21 FTE'!W$120</f>
        <v>0</v>
      </c>
      <c r="X116" s="28">
        <f>'FY21 Final Initial $$'!X116/'FY21 FTE'!X$120</f>
        <v>0</v>
      </c>
      <c r="Y116" s="28">
        <f>'FY21 Final Initial $$'!Y116/'FY21 FTE'!Y$120</f>
        <v>0</v>
      </c>
      <c r="Z116" s="28">
        <f>'FY21 Final Initial $$'!Z116/'FY21 FTE'!Z$120</f>
        <v>0</v>
      </c>
      <c r="AA116" s="28">
        <f>'FY21 Final Initial $$'!AA116/'FY21 FTE'!AA$120</f>
        <v>0</v>
      </c>
      <c r="AB116" s="28">
        <f>'FY21 Final Initial $$'!AB116/'FY21 FTE'!AB$120</f>
        <v>0</v>
      </c>
      <c r="AC116" s="28">
        <f>'FY21 Final Initial $$'!AC116/'FY21 FTE'!AC$120</f>
        <v>0</v>
      </c>
      <c r="AD116" s="28">
        <f>'FY21 Final Initial $$'!AD116/'FY21 FTE'!AD$120</f>
        <v>0</v>
      </c>
      <c r="AE116" s="28">
        <f>'FY21 Final Initial $$'!AE116/'FY21 FTE'!AE$120</f>
        <v>0</v>
      </c>
      <c r="AF116" s="28">
        <f>'FY21 Final Initial $$'!AF116/'FY21 FTE'!AF$120</f>
        <v>0</v>
      </c>
      <c r="AG116" s="28">
        <f>'FY21 Final Initial $$'!AG116/'FY21 FTE'!AG$120</f>
        <v>0</v>
      </c>
      <c r="AH116" s="28">
        <f>'FY21 Final Initial $$'!AH116/'FY21 FTE'!AH$120</f>
        <v>0</v>
      </c>
      <c r="AI116" s="28">
        <f>'FY21 Final Initial $$'!AI116/'FY21 FTE'!AI$120</f>
        <v>0</v>
      </c>
      <c r="AJ116" s="28">
        <f>'FY21 Final Initial $$'!AJ116/'FY21 FTE'!AJ$120</f>
        <v>0</v>
      </c>
      <c r="AK116" s="28">
        <f>'FY21 Final Initial $$'!AK116/'FY21 FTE'!AK$120</f>
        <v>0</v>
      </c>
      <c r="AL116" s="28">
        <f>'FY21 Final Initial $$'!AL116/'FY21 FTE'!AL$120</f>
        <v>0</v>
      </c>
      <c r="AM116" s="28">
        <f>'FY21 Final Initial $$'!AM116/'FY21 FTE'!AM$120</f>
        <v>0</v>
      </c>
      <c r="AN116" s="28">
        <f>'FY21 Final Initial $$'!AN116/'FY21 FTE'!AN$120</f>
        <v>0</v>
      </c>
      <c r="AO116" s="28">
        <f>'FY21 Final Initial $$'!AO116/'FY21 FTE'!AO$120</f>
        <v>0</v>
      </c>
      <c r="AP116" s="28">
        <f>'FY21 Final Initial $$'!AP116/'FY21 FTE'!AP$120</f>
        <v>0</v>
      </c>
      <c r="AQ116" s="28">
        <f>'FY21 Final Initial $$'!AQ116/'FY21 FTE'!AQ$120</f>
        <v>0</v>
      </c>
      <c r="AR116" s="28">
        <f>'FY21 Final Initial $$'!AR116/'FY21 FTE'!AR$120</f>
        <v>0</v>
      </c>
      <c r="AS116" s="28">
        <f>'FY21 Final Initial $$'!AS116/'FY21 FTE'!AS$120</f>
        <v>0</v>
      </c>
      <c r="AT116" s="28">
        <f>'FY21 Final Initial $$'!AT116/'FY21 FTE'!AT$120</f>
        <v>0</v>
      </c>
      <c r="AU116" s="28">
        <f>'FY21 Final Initial $$'!AU116/'FY21 FTE'!AU$120</f>
        <v>0</v>
      </c>
      <c r="AV116" s="28">
        <f>'FY21 Final Initial $$'!AV116/'FY21 FTE'!AV$120</f>
        <v>0</v>
      </c>
      <c r="AW116" s="28">
        <f>'FY21 Final Initial $$'!AW116/'FY21 FTE'!AW$120</f>
        <v>83.958333333333329</v>
      </c>
      <c r="AX116" s="28">
        <f>'FY21 Final Initial $$'!AX116/'FY21 FTE'!AX$120</f>
        <v>14.041666666666718</v>
      </c>
      <c r="AY116" s="28">
        <f>'FY21 Final Initial $$'!AY116/'FY21 FTE'!AY$120</f>
        <v>2</v>
      </c>
      <c r="AZ116" s="28">
        <f>'FY21 Final Initial $$'!AZ116/'FY21 FTE'!AZ$120</f>
        <v>5</v>
      </c>
      <c r="BA116" s="28">
        <f>'FY21 Final Initial $$'!BA116/'FY21 FTE'!BA$120</f>
        <v>23</v>
      </c>
      <c r="BB116" s="28">
        <f>'FY21 Final Initial $$'!BB116/'FY21 FTE'!BB$120</f>
        <v>8</v>
      </c>
      <c r="BC116" s="28">
        <f>'FY21 Final Initial $$'!BC116/'FY21 FTE'!BC$120</f>
        <v>0</v>
      </c>
      <c r="BD116" s="28">
        <f>'FY21 Final Initial $$'!BD116/'FY21 FTE'!BD$120</f>
        <v>1</v>
      </c>
      <c r="BE116" s="28">
        <f>'FY21 Final Initial $$'!BE116/'FY21 FTE'!BE$120</f>
        <v>8.5</v>
      </c>
      <c r="BF116" s="28">
        <f>'FY21 Final Initial $$'!BF116/'FY21 FTE'!BF$120</f>
        <v>0</v>
      </c>
      <c r="BG116" s="28">
        <f>'FY21 Final Initial $$'!BG116/'FY21 FTE'!BG$120</f>
        <v>1</v>
      </c>
      <c r="BH116" s="28">
        <f>'FY21 Final Initial $$'!BH116/'FY21 FTE'!BH$120</f>
        <v>0</v>
      </c>
      <c r="BI116" s="28">
        <f>'FY21 Final Initial $$'!BI116/'FY21 FTE'!BI$120</f>
        <v>0</v>
      </c>
      <c r="BJ116" s="28">
        <f>'FY21 Final Initial $$'!BJ116/'FY21 FTE'!BJ$120</f>
        <v>0</v>
      </c>
      <c r="BK116" s="20">
        <v>85000</v>
      </c>
      <c r="BL116" s="20"/>
      <c r="BM116" s="20"/>
      <c r="BN116" s="20">
        <v>0</v>
      </c>
      <c r="BO116" s="20">
        <v>0</v>
      </c>
      <c r="BP116" s="20">
        <v>46800</v>
      </c>
      <c r="BQ116" s="28">
        <f>'FY21 Final Initial $$'!BQ116/'FY21 FTE'!BQ$120</f>
        <v>0</v>
      </c>
      <c r="BR116" s="28">
        <f>'FY21 Final Initial $$'!BR116/'FY21 FTE'!BR$120</f>
        <v>0</v>
      </c>
      <c r="BS116" s="28">
        <f>'FY21 Final Initial $$'!BS116/'FY21 FTE'!BS$120</f>
        <v>0</v>
      </c>
      <c r="BT116" s="28">
        <f>'FY21 Final Initial $$'!BT116/'FY21 FTE'!BT$120</f>
        <v>0</v>
      </c>
      <c r="BU116" s="28">
        <f>'FY21 Final Initial $$'!BU116/'FY21 FTE'!BU$120</f>
        <v>0</v>
      </c>
      <c r="BV116" s="28">
        <f>'FY21 Final Initial $$'!BV116/'FY21 FTE'!BV$120</f>
        <v>0</v>
      </c>
      <c r="BW116" s="28">
        <f>'FY21 Final Initial $$'!BW116/'FY21 FTE'!BW$120</f>
        <v>0</v>
      </c>
      <c r="BX116" s="20">
        <v>0</v>
      </c>
      <c r="BY116" s="20">
        <v>0</v>
      </c>
      <c r="BZ116" s="20">
        <v>0</v>
      </c>
      <c r="CA116" s="20">
        <v>45000</v>
      </c>
      <c r="CB116" s="28">
        <f>'FY21 Final Initial $$'!CB116/'FY21 FTE'!CB$120</f>
        <v>0</v>
      </c>
      <c r="CC116" s="28">
        <f>'FY21 Final Initial $$'!CC116/'FY21 FTE'!CC$120</f>
        <v>0</v>
      </c>
      <c r="CD116" s="20">
        <v>0</v>
      </c>
      <c r="CE116" s="28">
        <f>'FY21 Final Initial $$'!CE116/'FY21 FTE'!CE$120</f>
        <v>2</v>
      </c>
      <c r="CF116" s="28">
        <f>'FY21 Final Initial $$'!CF116/'FY21 FTE'!CF$120</f>
        <v>0</v>
      </c>
      <c r="CG116" s="28">
        <f>'FY21 Final Initial $$'!CG116/'FY21 FTE'!CG$120</f>
        <v>1</v>
      </c>
      <c r="CH116" s="28">
        <f>'FY21 Final Initial $$'!CH116/'FY21 FTE'!CH$120</f>
        <v>1</v>
      </c>
      <c r="CI116" s="28">
        <f>'FY21 Final Initial $$'!CI116/'FY21 FTE'!CI$120</f>
        <v>0</v>
      </c>
      <c r="CJ116" s="28">
        <f>'FY21 Final Initial $$'!CJ116/'FY21 FTE'!CJ$120</f>
        <v>0</v>
      </c>
      <c r="CK116" s="28">
        <f>'FY21 Final Initial $$'!CK116/'FY21 FTE'!CK$120</f>
        <v>0</v>
      </c>
      <c r="CL116" s="28">
        <f>'FY21 Final Initial $$'!CL116/'FY21 FTE'!CL$120</f>
        <v>0</v>
      </c>
      <c r="CM116" s="20">
        <v>0</v>
      </c>
      <c r="CN116" s="20">
        <v>0</v>
      </c>
      <c r="CO116" s="20">
        <v>620294.24</v>
      </c>
      <c r="CP116" s="20">
        <v>0</v>
      </c>
      <c r="CQ116" s="28">
        <f>'FY21 Final Initial $$'!CQ116/'FY21 FTE'!CQ$120</f>
        <v>1</v>
      </c>
      <c r="CR116" s="20">
        <v>0</v>
      </c>
      <c r="CS116" s="20">
        <v>12720</v>
      </c>
      <c r="CT116" s="20">
        <v>0</v>
      </c>
      <c r="CU116" s="20">
        <v>259512.35347826086</v>
      </c>
      <c r="CV116" s="28">
        <f>'FY21 Final Initial $$'!CV116/'FY21 FTE'!CV$120</f>
        <v>1</v>
      </c>
      <c r="CW116" s="28">
        <f>'FY21 Final Initial $$'!CW116/'FY21 FTE'!CW$120</f>
        <v>0</v>
      </c>
      <c r="CX116" s="20">
        <v>0</v>
      </c>
      <c r="CY116" s="28">
        <f>'FY21 Final Initial $$'!CY116/'FY21 FTE'!CY$120</f>
        <v>0</v>
      </c>
      <c r="CZ116" s="20">
        <v>0</v>
      </c>
      <c r="DA116" s="20">
        <v>0</v>
      </c>
      <c r="DB116" s="20">
        <v>201500</v>
      </c>
      <c r="DC116" s="20">
        <v>315282.9242947161</v>
      </c>
      <c r="DD116" s="20">
        <v>0</v>
      </c>
      <c r="DE116" s="20">
        <v>0</v>
      </c>
      <c r="DF116" s="20">
        <v>0</v>
      </c>
      <c r="DG116" s="20">
        <v>0</v>
      </c>
      <c r="DH116" s="28">
        <f>'FY21 Final Initial $$'!DH116/'FY21 FTE'!DH$120</f>
        <v>0</v>
      </c>
      <c r="DI116" s="20"/>
      <c r="DJ116" s="20">
        <v>38025.000021792948</v>
      </c>
      <c r="DK116" s="22">
        <v>0</v>
      </c>
      <c r="DL116" s="20">
        <v>0</v>
      </c>
      <c r="DM116" s="20">
        <v>0</v>
      </c>
      <c r="DN116" s="20">
        <v>21682918.479622327</v>
      </c>
      <c r="DO116" s="29">
        <f t="shared" si="6"/>
        <v>0</v>
      </c>
      <c r="DP116" s="29">
        <f t="shared" si="6"/>
        <v>0</v>
      </c>
      <c r="DQ116" s="29">
        <f t="shared" si="7"/>
        <v>98.000000000000043</v>
      </c>
      <c r="DR116" s="29">
        <f t="shared" si="8"/>
        <v>39.5</v>
      </c>
      <c r="DS116" s="29">
        <f t="shared" si="9"/>
        <v>8</v>
      </c>
    </row>
    <row r="117" spans="1:123" x14ac:dyDescent="0.25">
      <c r="A117" s="18">
        <v>464</v>
      </c>
      <c r="B117" t="s">
        <v>258</v>
      </c>
      <c r="C117" t="s">
        <v>138</v>
      </c>
      <c r="D117">
        <v>7</v>
      </c>
      <c r="E117">
        <v>505</v>
      </c>
      <c r="F117" s="19">
        <f t="shared" si="5"/>
        <v>0.62178217821782178</v>
      </c>
      <c r="G117">
        <v>314</v>
      </c>
      <c r="H117" s="28">
        <f>'FY21 Final Initial $$'!H117/'FY21 FTE'!H$120</f>
        <v>1</v>
      </c>
      <c r="I117" s="28">
        <f>'FY21 Final Initial $$'!I117/'FY21 FTE'!I$120</f>
        <v>1</v>
      </c>
      <c r="J117" s="28">
        <f>'FY21 Final Initial $$'!J117/'FY21 FTE'!J$120</f>
        <v>1.7</v>
      </c>
      <c r="K117" s="28">
        <f>'FY21 Final Initial $$'!K117/'FY21 FTE'!K$120</f>
        <v>0</v>
      </c>
      <c r="L117" s="28">
        <f>'FY21 Final Initial $$'!L117/'FY21 FTE'!L$120</f>
        <v>2.5</v>
      </c>
      <c r="M117" s="28">
        <f>'FY21 Final Initial $$'!M117/'FY21 FTE'!M$120</f>
        <v>1</v>
      </c>
      <c r="N117" s="28">
        <f>'FY21 Final Initial $$'!N117/'FY21 FTE'!N$120</f>
        <v>1</v>
      </c>
      <c r="O117" s="28">
        <f>'FY21 Final Initial $$'!O117/'FY21 FTE'!O$120</f>
        <v>1.3</v>
      </c>
      <c r="P117" s="28">
        <f>'FY21 Final Initial $$'!P117/'FY21 FTE'!P$120</f>
        <v>1</v>
      </c>
      <c r="Q117" s="28">
        <f>'FY21 Final Initial $$'!Q117/'FY21 FTE'!Q$120</f>
        <v>1.0000004487061702</v>
      </c>
      <c r="R117" s="28">
        <f>'FY21 Final Initial $$'!R117/'FY21 FTE'!R$120</f>
        <v>0</v>
      </c>
      <c r="S117" s="28">
        <f>'FY21 Final Initial $$'!S117/'FY21 FTE'!S$120</f>
        <v>1</v>
      </c>
      <c r="T117" s="28">
        <f>'FY21 Final Initial $$'!T117/'FY21 FTE'!T$120</f>
        <v>1</v>
      </c>
      <c r="U117" s="28">
        <f>'FY21 Final Initial $$'!U117/'FY21 FTE'!U$120</f>
        <v>5</v>
      </c>
      <c r="V117" s="28">
        <f>'FY21 Final Initial $$'!V117/'FY21 FTE'!V$120</f>
        <v>1</v>
      </c>
      <c r="W117" s="28">
        <f>'FY21 Final Initial $$'!W117/'FY21 FTE'!W$120</f>
        <v>0</v>
      </c>
      <c r="X117" s="28">
        <f>'FY21 Final Initial $$'!X117/'FY21 FTE'!X$120</f>
        <v>0</v>
      </c>
      <c r="Y117" s="28">
        <f>'FY21 Final Initial $$'!Y117/'FY21 FTE'!Y$120</f>
        <v>0</v>
      </c>
      <c r="Z117" s="28">
        <f>'FY21 Final Initial $$'!Z117/'FY21 FTE'!Z$120</f>
        <v>0</v>
      </c>
      <c r="AA117" s="28">
        <f>'FY21 Final Initial $$'!AA117/'FY21 FTE'!AA$120</f>
        <v>0</v>
      </c>
      <c r="AB117" s="28">
        <f>'FY21 Final Initial $$'!AB117/'FY21 FTE'!AB$120</f>
        <v>0</v>
      </c>
      <c r="AC117" s="28">
        <f>'FY21 Final Initial $$'!AC117/'FY21 FTE'!AC$120</f>
        <v>0</v>
      </c>
      <c r="AD117" s="28">
        <f>'FY21 Final Initial $$'!AD117/'FY21 FTE'!AD$120</f>
        <v>0</v>
      </c>
      <c r="AE117" s="28">
        <f>'FY21 Final Initial $$'!AE117/'FY21 FTE'!AE$120</f>
        <v>0</v>
      </c>
      <c r="AF117" s="28">
        <f>'FY21 Final Initial $$'!AF117/'FY21 FTE'!AF$120</f>
        <v>0</v>
      </c>
      <c r="AG117" s="28">
        <f>'FY21 Final Initial $$'!AG117/'FY21 FTE'!AG$120</f>
        <v>0</v>
      </c>
      <c r="AH117" s="28">
        <f>'FY21 Final Initial $$'!AH117/'FY21 FTE'!AH$120</f>
        <v>0</v>
      </c>
      <c r="AI117" s="28">
        <f>'FY21 Final Initial $$'!AI117/'FY21 FTE'!AI$120</f>
        <v>0</v>
      </c>
      <c r="AJ117" s="28">
        <f>'FY21 Final Initial $$'!AJ117/'FY21 FTE'!AJ$120</f>
        <v>0</v>
      </c>
      <c r="AK117" s="28">
        <f>'FY21 Final Initial $$'!AK117/'FY21 FTE'!AK$120</f>
        <v>0</v>
      </c>
      <c r="AL117" s="28">
        <f>'FY21 Final Initial $$'!AL117/'FY21 FTE'!AL$120</f>
        <v>0</v>
      </c>
      <c r="AM117" s="28">
        <f>'FY21 Final Initial $$'!AM117/'FY21 FTE'!AM$120</f>
        <v>0</v>
      </c>
      <c r="AN117" s="28">
        <f>'FY21 Final Initial $$'!AN117/'FY21 FTE'!AN$120</f>
        <v>0</v>
      </c>
      <c r="AO117" s="28">
        <f>'FY21 Final Initial $$'!AO117/'FY21 FTE'!AO$120</f>
        <v>0</v>
      </c>
      <c r="AP117" s="28">
        <f>'FY21 Final Initial $$'!AP117/'FY21 FTE'!AP$120</f>
        <v>0</v>
      </c>
      <c r="AQ117" s="28">
        <f>'FY21 Final Initial $$'!AQ117/'FY21 FTE'!AQ$120</f>
        <v>0</v>
      </c>
      <c r="AR117" s="28">
        <f>'FY21 Final Initial $$'!AR117/'FY21 FTE'!AR$120</f>
        <v>0</v>
      </c>
      <c r="AS117" s="28">
        <f>'FY21 Final Initial $$'!AS117/'FY21 FTE'!AS$120</f>
        <v>0</v>
      </c>
      <c r="AT117" s="28">
        <f>'FY21 Final Initial $$'!AT117/'FY21 FTE'!AT$120</f>
        <v>0</v>
      </c>
      <c r="AU117" s="28">
        <f>'FY21 Final Initial $$'!AU117/'FY21 FTE'!AU$120</f>
        <v>0</v>
      </c>
      <c r="AV117" s="28">
        <f>'FY21 Final Initial $$'!AV117/'FY21 FTE'!AV$120</f>
        <v>0</v>
      </c>
      <c r="AW117" s="28">
        <f>'FY21 Final Initial $$'!AW117/'FY21 FTE'!AW$120</f>
        <v>21.041666666666671</v>
      </c>
      <c r="AX117" s="28">
        <f>'FY21 Final Initial $$'!AX117/'FY21 FTE'!AX$120</f>
        <v>15.815462623968974</v>
      </c>
      <c r="AY117" s="28">
        <f>'FY21 Final Initial $$'!AY117/'FY21 FTE'!AY$120</f>
        <v>1</v>
      </c>
      <c r="AZ117" s="28">
        <f>'FY21 Final Initial $$'!AZ117/'FY21 FTE'!AZ$120</f>
        <v>4</v>
      </c>
      <c r="BA117" s="28">
        <f>'FY21 Final Initial $$'!BA117/'FY21 FTE'!BA$120</f>
        <v>13</v>
      </c>
      <c r="BB117" s="28">
        <f>'FY21 Final Initial $$'!BB117/'FY21 FTE'!BB$120</f>
        <v>4</v>
      </c>
      <c r="BC117" s="28">
        <f>'FY21 Final Initial $$'!BC117/'FY21 FTE'!BC$120</f>
        <v>1</v>
      </c>
      <c r="BD117" s="28">
        <f>'FY21 Final Initial $$'!BD117/'FY21 FTE'!BD$120</f>
        <v>0</v>
      </c>
      <c r="BE117" s="28">
        <f>'FY21 Final Initial $$'!BE117/'FY21 FTE'!BE$120</f>
        <v>0.36363636363636365</v>
      </c>
      <c r="BF117" s="28">
        <f>'FY21 Final Initial $$'!BF117/'FY21 FTE'!BF$120</f>
        <v>0</v>
      </c>
      <c r="BG117" s="28">
        <f>'FY21 Final Initial $$'!BG117/'FY21 FTE'!BG$120</f>
        <v>0</v>
      </c>
      <c r="BH117" s="28">
        <f>'FY21 Final Initial $$'!BH117/'FY21 FTE'!BH$120</f>
        <v>0</v>
      </c>
      <c r="BI117" s="28">
        <f>'FY21 Final Initial $$'!BI117/'FY21 FTE'!BI$120</f>
        <v>0</v>
      </c>
      <c r="BJ117" s="28">
        <f>'FY21 Final Initial $$'!BJ117/'FY21 FTE'!BJ$120</f>
        <v>0</v>
      </c>
      <c r="BK117" s="20">
        <v>60000</v>
      </c>
      <c r="BL117" s="20"/>
      <c r="BM117" s="20"/>
      <c r="BN117" s="20">
        <v>199023.65</v>
      </c>
      <c r="BO117" s="20">
        <v>3292.62</v>
      </c>
      <c r="BP117" s="20">
        <v>0</v>
      </c>
      <c r="BQ117" s="28">
        <f>'FY21 Final Initial $$'!BQ117/'FY21 FTE'!BQ$120</f>
        <v>0</v>
      </c>
      <c r="BR117" s="28">
        <f>'FY21 Final Initial $$'!BR117/'FY21 FTE'!BR$120</f>
        <v>0</v>
      </c>
      <c r="BS117" s="28">
        <f>'FY21 Final Initial $$'!BS117/'FY21 FTE'!BS$120</f>
        <v>0</v>
      </c>
      <c r="BT117" s="28">
        <f>'FY21 Final Initial $$'!BT117/'FY21 FTE'!BT$120</f>
        <v>0</v>
      </c>
      <c r="BU117" s="28">
        <f>'FY21 Final Initial $$'!BU117/'FY21 FTE'!BU$120</f>
        <v>0</v>
      </c>
      <c r="BV117" s="28">
        <f>'FY21 Final Initial $$'!BV117/'FY21 FTE'!BV$120</f>
        <v>0</v>
      </c>
      <c r="BW117" s="28">
        <f>'FY21 Final Initial $$'!BW117/'FY21 FTE'!BW$120</f>
        <v>1</v>
      </c>
      <c r="BX117" s="20">
        <v>16239.78</v>
      </c>
      <c r="BY117" s="20">
        <v>18960</v>
      </c>
      <c r="BZ117" s="20">
        <v>0</v>
      </c>
      <c r="CA117" s="20">
        <v>270000</v>
      </c>
      <c r="CB117" s="28">
        <f>'FY21 Final Initial $$'!CB117/'FY21 FTE'!CB$120</f>
        <v>0</v>
      </c>
      <c r="CC117" s="28">
        <f>'FY21 Final Initial $$'!CC117/'FY21 FTE'!CC$120</f>
        <v>0</v>
      </c>
      <c r="CD117" s="20">
        <v>42000</v>
      </c>
      <c r="CE117" s="28">
        <f>'FY21 Final Initial $$'!CE117/'FY21 FTE'!CE$120</f>
        <v>2</v>
      </c>
      <c r="CF117" s="28">
        <f>'FY21 Final Initial $$'!CF117/'FY21 FTE'!CF$120</f>
        <v>0</v>
      </c>
      <c r="CG117" s="28">
        <f>'FY21 Final Initial $$'!CG117/'FY21 FTE'!CG$120</f>
        <v>3</v>
      </c>
      <c r="CH117" s="28">
        <f>'FY21 Final Initial $$'!CH117/'FY21 FTE'!CH$120</f>
        <v>2</v>
      </c>
      <c r="CI117" s="28">
        <f>'FY21 Final Initial $$'!CI117/'FY21 FTE'!CI$120</f>
        <v>0</v>
      </c>
      <c r="CJ117" s="28">
        <f>'FY21 Final Initial $$'!CJ117/'FY21 FTE'!CJ$120</f>
        <v>1</v>
      </c>
      <c r="CK117" s="28">
        <f>'FY21 Final Initial $$'!CK117/'FY21 FTE'!CK$120</f>
        <v>0</v>
      </c>
      <c r="CL117" s="28">
        <f>'FY21 Final Initial $$'!CL117/'FY21 FTE'!CL$120</f>
        <v>0</v>
      </c>
      <c r="CM117" s="20">
        <v>0</v>
      </c>
      <c r="CN117" s="20">
        <v>0</v>
      </c>
      <c r="CO117" s="20">
        <v>488091.83999999997</v>
      </c>
      <c r="CP117" s="20">
        <v>0</v>
      </c>
      <c r="CQ117" s="28">
        <f>'FY21 Final Initial $$'!CQ117/'FY21 FTE'!CQ$120</f>
        <v>1</v>
      </c>
      <c r="CR117" s="20">
        <v>75000</v>
      </c>
      <c r="CS117" s="20">
        <v>6280</v>
      </c>
      <c r="CT117" s="20">
        <v>0</v>
      </c>
      <c r="CU117" s="20">
        <v>65006.31</v>
      </c>
      <c r="CV117" s="28">
        <f>'FY21 Final Initial $$'!CV117/'FY21 FTE'!CV$120</f>
        <v>1</v>
      </c>
      <c r="CW117" s="28">
        <f>'FY21 Final Initial $$'!CW117/'FY21 FTE'!CW$120</f>
        <v>0</v>
      </c>
      <c r="CX117" s="20">
        <v>0</v>
      </c>
      <c r="CY117" s="28">
        <f>'FY21 Final Initial $$'!CY117/'FY21 FTE'!CY$120</f>
        <v>0</v>
      </c>
      <c r="CZ117" s="20">
        <v>5000</v>
      </c>
      <c r="DA117" s="20">
        <v>113945.66</v>
      </c>
      <c r="DB117" s="20">
        <v>50500</v>
      </c>
      <c r="DC117" s="20">
        <v>132491.2233568473</v>
      </c>
      <c r="DD117" s="20">
        <v>0</v>
      </c>
      <c r="DE117" s="20">
        <v>0</v>
      </c>
      <c r="DF117" s="20">
        <v>0</v>
      </c>
      <c r="DG117" s="20">
        <v>0</v>
      </c>
      <c r="DH117" s="28">
        <f>'FY21 Final Initial $$'!DH117/'FY21 FTE'!DH$120</f>
        <v>0</v>
      </c>
      <c r="DI117" s="20"/>
      <c r="DJ117" s="20">
        <v>20800.000818446279</v>
      </c>
      <c r="DK117" s="22">
        <v>288399.09534440504</v>
      </c>
      <c r="DL117" s="20">
        <v>0</v>
      </c>
      <c r="DM117" s="20">
        <v>0</v>
      </c>
      <c r="DN117" s="20">
        <v>11221490.188369134</v>
      </c>
      <c r="DO117" s="29">
        <f t="shared" si="6"/>
        <v>0</v>
      </c>
      <c r="DP117" s="29">
        <f t="shared" si="6"/>
        <v>0</v>
      </c>
      <c r="DQ117" s="29">
        <f t="shared" si="7"/>
        <v>36.857129290635648</v>
      </c>
      <c r="DR117" s="29">
        <f t="shared" si="8"/>
        <v>18.363636363636363</v>
      </c>
      <c r="DS117" s="29">
        <f t="shared" si="9"/>
        <v>4</v>
      </c>
    </row>
    <row r="118" spans="1:123" x14ac:dyDescent="0.25">
      <c r="A118" s="18">
        <v>861</v>
      </c>
      <c r="B118" t="s">
        <v>259</v>
      </c>
      <c r="C118" t="s">
        <v>184</v>
      </c>
      <c r="D118">
        <v>5</v>
      </c>
      <c r="E118">
        <v>35</v>
      </c>
      <c r="F118" s="19">
        <f t="shared" si="5"/>
        <v>0</v>
      </c>
      <c r="G118">
        <v>0</v>
      </c>
      <c r="H118" s="28">
        <f>'FY21 Final Initial $$'!H118/'FY21 FTE'!H$120</f>
        <v>1</v>
      </c>
      <c r="I118" s="28">
        <f>'FY21 Final Initial $$'!I118/'FY21 FTE'!I$120</f>
        <v>0</v>
      </c>
      <c r="J118" s="28">
        <f>'FY21 Final Initial $$'!J118/'FY21 FTE'!J$120</f>
        <v>0</v>
      </c>
      <c r="K118" s="28">
        <f>'FY21 Final Initial $$'!K118/'FY21 FTE'!K$120</f>
        <v>0</v>
      </c>
      <c r="L118" s="28">
        <f>'FY21 Final Initial $$'!L118/'FY21 FTE'!L$120</f>
        <v>1</v>
      </c>
      <c r="M118" s="28">
        <f>'FY21 Final Initial $$'!M118/'FY21 FTE'!M$120</f>
        <v>0</v>
      </c>
      <c r="N118" s="28">
        <f>'FY21 Final Initial $$'!N118/'FY21 FTE'!N$120</f>
        <v>1</v>
      </c>
      <c r="O118" s="28">
        <f>'FY21 Final Initial $$'!O118/'FY21 FTE'!O$120</f>
        <v>1</v>
      </c>
      <c r="P118" s="28">
        <f>'FY21 Final Initial $$'!P118/'FY21 FTE'!P$120</f>
        <v>0</v>
      </c>
      <c r="Q118" s="28">
        <f>'FY21 Final Initial $$'!Q118/'FY21 FTE'!Q$120</f>
        <v>0</v>
      </c>
      <c r="R118" s="28">
        <f>'FY21 Final Initial $$'!R118/'FY21 FTE'!R$120</f>
        <v>0</v>
      </c>
      <c r="S118" s="28">
        <f>'FY21 Final Initial $$'!S118/'FY21 FTE'!S$120</f>
        <v>0</v>
      </c>
      <c r="T118" s="28">
        <f>'FY21 Final Initial $$'!T118/'FY21 FTE'!T$120</f>
        <v>0</v>
      </c>
      <c r="U118" s="28">
        <f>'FY21 Final Initial $$'!U118/'FY21 FTE'!U$120</f>
        <v>0</v>
      </c>
      <c r="V118" s="28">
        <f>'FY21 Final Initial $$'!V118/'FY21 FTE'!V$120</f>
        <v>0</v>
      </c>
      <c r="W118" s="28">
        <f>'FY21 Final Initial $$'!W118/'FY21 FTE'!W$120</f>
        <v>0</v>
      </c>
      <c r="X118" s="28">
        <f>'FY21 Final Initial $$'!X118/'FY21 FTE'!X$120</f>
        <v>0</v>
      </c>
      <c r="Y118" s="28">
        <f>'FY21 Final Initial $$'!Y118/'FY21 FTE'!Y$120</f>
        <v>0</v>
      </c>
      <c r="Z118" s="28">
        <f>'FY21 Final Initial $$'!Z118/'FY21 FTE'!Z$120</f>
        <v>0.5</v>
      </c>
      <c r="AA118" s="28">
        <f>'FY21 Final Initial $$'!AA118/'FY21 FTE'!AA$120</f>
        <v>0</v>
      </c>
      <c r="AB118" s="28">
        <f>'FY21 Final Initial $$'!AB118/'FY21 FTE'!AB$120</f>
        <v>0</v>
      </c>
      <c r="AC118" s="28">
        <f>'FY21 Final Initial $$'!AC118/'FY21 FTE'!AC$120</f>
        <v>0</v>
      </c>
      <c r="AD118" s="28">
        <f>'FY21 Final Initial $$'!AD118/'FY21 FTE'!AD$120</f>
        <v>0</v>
      </c>
      <c r="AE118" s="28">
        <f>'FY21 Final Initial $$'!AE118/'FY21 FTE'!AE$120</f>
        <v>0</v>
      </c>
      <c r="AF118" s="28">
        <f>'FY21 Final Initial $$'!AF118/'FY21 FTE'!AF$120</f>
        <v>0</v>
      </c>
      <c r="AG118" s="28">
        <f>'FY21 Final Initial $$'!AG118/'FY21 FTE'!AG$120</f>
        <v>0</v>
      </c>
      <c r="AH118" s="28">
        <f>'FY21 Final Initial $$'!AH118/'FY21 FTE'!AH$120</f>
        <v>0</v>
      </c>
      <c r="AI118" s="28">
        <f>'FY21 Final Initial $$'!AI118/'FY21 FTE'!AI$120</f>
        <v>0</v>
      </c>
      <c r="AJ118" s="28">
        <f>'FY21 Final Initial $$'!AJ118/'FY21 FTE'!AJ$120</f>
        <v>0</v>
      </c>
      <c r="AK118" s="28">
        <f>'FY21 Final Initial $$'!AK118/'FY21 FTE'!AK$120</f>
        <v>0</v>
      </c>
      <c r="AL118" s="28">
        <f>'FY21 Final Initial $$'!AL118/'FY21 FTE'!AL$120</f>
        <v>0</v>
      </c>
      <c r="AM118" s="28">
        <f>'FY21 Final Initial $$'!AM118/'FY21 FTE'!AM$120</f>
        <v>0</v>
      </c>
      <c r="AN118" s="28">
        <f>'FY21 Final Initial $$'!AN118/'FY21 FTE'!AN$120</f>
        <v>0</v>
      </c>
      <c r="AO118" s="28">
        <f>'FY21 Final Initial $$'!AO118/'FY21 FTE'!AO$120</f>
        <v>0</v>
      </c>
      <c r="AP118" s="28">
        <f>'FY21 Final Initial $$'!AP118/'FY21 FTE'!AP$120</f>
        <v>1</v>
      </c>
      <c r="AQ118" s="28">
        <f>'FY21 Final Initial $$'!AQ118/'FY21 FTE'!AQ$120</f>
        <v>1</v>
      </c>
      <c r="AR118" s="28">
        <f>'FY21 Final Initial $$'!AR118/'FY21 FTE'!AR$120</f>
        <v>1</v>
      </c>
      <c r="AS118" s="28">
        <f>'FY21 Final Initial $$'!AS118/'FY21 FTE'!AS$120</f>
        <v>1</v>
      </c>
      <c r="AT118" s="28">
        <f>'FY21 Final Initial $$'!AT118/'FY21 FTE'!AT$120</f>
        <v>1</v>
      </c>
      <c r="AU118" s="28">
        <f>'FY21 Final Initial $$'!AU118/'FY21 FTE'!AU$120</f>
        <v>0</v>
      </c>
      <c r="AV118" s="28">
        <f>'FY21 Final Initial $$'!AV118/'FY21 FTE'!AV$120</f>
        <v>0</v>
      </c>
      <c r="AW118" s="28">
        <f>'FY21 Final Initial $$'!AW118/'FY21 FTE'!AW$120</f>
        <v>0</v>
      </c>
      <c r="AX118" s="28">
        <f>'FY21 Final Initial $$'!AX118/'FY21 FTE'!AX$120</f>
        <v>0</v>
      </c>
      <c r="AY118" s="28">
        <f>'FY21 Final Initial $$'!AY118/'FY21 FTE'!AY$120</f>
        <v>0.5</v>
      </c>
      <c r="AZ118" s="28">
        <f>'FY21 Final Initial $$'!AZ118/'FY21 FTE'!AZ$120</f>
        <v>2</v>
      </c>
      <c r="BA118" s="28">
        <f>'FY21 Final Initial $$'!BA118/'FY21 FTE'!BA$120</f>
        <v>5</v>
      </c>
      <c r="BB118" s="28">
        <f>'FY21 Final Initial $$'!BB118/'FY21 FTE'!BB$120</f>
        <v>0</v>
      </c>
      <c r="BC118" s="28">
        <f>'FY21 Final Initial $$'!BC118/'FY21 FTE'!BC$120</f>
        <v>0</v>
      </c>
      <c r="BD118" s="28">
        <f>'FY21 Final Initial $$'!BD118/'FY21 FTE'!BD$120</f>
        <v>0</v>
      </c>
      <c r="BE118" s="28">
        <f>'FY21 Final Initial $$'!BE118/'FY21 FTE'!BE$120</f>
        <v>9.0909090909090912E-2</v>
      </c>
      <c r="BF118" s="28">
        <f>'FY21 Final Initial $$'!BF118/'FY21 FTE'!BF$120</f>
        <v>0</v>
      </c>
      <c r="BG118" s="28">
        <f>'FY21 Final Initial $$'!BG118/'FY21 FTE'!BG$120</f>
        <v>0</v>
      </c>
      <c r="BH118" s="28">
        <f>'FY21 Final Initial $$'!BH118/'FY21 FTE'!BH$120</f>
        <v>0</v>
      </c>
      <c r="BI118" s="28">
        <f>'FY21 Final Initial $$'!BI118/'FY21 FTE'!BI$120</f>
        <v>0</v>
      </c>
      <c r="BJ118" s="28">
        <f>'FY21 Final Initial $$'!BJ118/'FY21 FTE'!BJ$120</f>
        <v>0</v>
      </c>
      <c r="BK118" s="20">
        <v>25000</v>
      </c>
      <c r="BL118" s="20"/>
      <c r="BM118" s="20"/>
      <c r="BN118" s="20">
        <v>0</v>
      </c>
      <c r="BO118" s="20">
        <v>0</v>
      </c>
      <c r="BP118" s="20">
        <v>875</v>
      </c>
      <c r="BQ118" s="28">
        <f>'FY21 Final Initial $$'!BQ118/'FY21 FTE'!BQ$120</f>
        <v>0</v>
      </c>
      <c r="BR118" s="28">
        <f>'FY21 Final Initial $$'!BR118/'FY21 FTE'!BR$120</f>
        <v>0</v>
      </c>
      <c r="BS118" s="28">
        <f>'FY21 Final Initial $$'!BS118/'FY21 FTE'!BS$120</f>
        <v>0</v>
      </c>
      <c r="BT118" s="28">
        <f>'FY21 Final Initial $$'!BT118/'FY21 FTE'!BT$120</f>
        <v>0</v>
      </c>
      <c r="BU118" s="28">
        <f>'FY21 Final Initial $$'!BU118/'FY21 FTE'!BU$120</f>
        <v>0</v>
      </c>
      <c r="BV118" s="28">
        <f>'FY21 Final Initial $$'!BV118/'FY21 FTE'!BV$120</f>
        <v>0</v>
      </c>
      <c r="BW118" s="28">
        <f>'FY21 Final Initial $$'!BW118/'FY21 FTE'!BW$120</f>
        <v>0</v>
      </c>
      <c r="BX118" s="20">
        <v>0</v>
      </c>
      <c r="BY118" s="20">
        <v>0</v>
      </c>
      <c r="BZ118" s="20">
        <v>0</v>
      </c>
      <c r="CA118" s="20">
        <v>0</v>
      </c>
      <c r="CB118" s="28">
        <f>'FY21 Final Initial $$'!CB118/'FY21 FTE'!CB$120</f>
        <v>0</v>
      </c>
      <c r="CC118" s="28">
        <f>'FY21 Final Initial $$'!CC118/'FY21 FTE'!CC$120</f>
        <v>0</v>
      </c>
      <c r="CD118" s="20">
        <v>0</v>
      </c>
      <c r="CE118" s="28">
        <f>'FY21 Final Initial $$'!CE118/'FY21 FTE'!CE$120</f>
        <v>0</v>
      </c>
      <c r="CF118" s="28">
        <f>'FY21 Final Initial $$'!CF118/'FY21 FTE'!CF$120</f>
        <v>0</v>
      </c>
      <c r="CG118" s="28">
        <f>'FY21 Final Initial $$'!CG118/'FY21 FTE'!CG$120</f>
        <v>0</v>
      </c>
      <c r="CH118" s="28">
        <f>'FY21 Final Initial $$'!CH118/'FY21 FTE'!CH$120</f>
        <v>0</v>
      </c>
      <c r="CI118" s="28">
        <f>'FY21 Final Initial $$'!CI118/'FY21 FTE'!CI$120</f>
        <v>0</v>
      </c>
      <c r="CJ118" s="28">
        <f>'FY21 Final Initial $$'!CJ118/'FY21 FTE'!CJ$120</f>
        <v>0</v>
      </c>
      <c r="CK118" s="28">
        <f>'FY21 Final Initial $$'!CK118/'FY21 FTE'!CK$120</f>
        <v>0</v>
      </c>
      <c r="CL118" s="28">
        <f>'FY21 Final Initial $$'!CL118/'FY21 FTE'!CL$120</f>
        <v>0</v>
      </c>
      <c r="CM118" s="20">
        <v>0</v>
      </c>
      <c r="CN118" s="20">
        <v>0</v>
      </c>
      <c r="CO118" s="20">
        <v>0</v>
      </c>
      <c r="CP118" s="20">
        <v>0</v>
      </c>
      <c r="CQ118" s="28">
        <f>'FY21 Final Initial $$'!CQ118/'FY21 FTE'!CQ$120</f>
        <v>0</v>
      </c>
      <c r="CR118" s="20">
        <v>0</v>
      </c>
      <c r="CS118" s="20">
        <v>0</v>
      </c>
      <c r="CT118" s="20">
        <v>0</v>
      </c>
      <c r="CU118" s="20">
        <v>0</v>
      </c>
      <c r="CV118" s="28">
        <f>'FY21 Final Initial $$'!CV118/'FY21 FTE'!CV$120</f>
        <v>0</v>
      </c>
      <c r="CW118" s="28">
        <f>'FY21 Final Initial $$'!CW118/'FY21 FTE'!CW$120</f>
        <v>0</v>
      </c>
      <c r="CX118" s="20">
        <v>0</v>
      </c>
      <c r="CY118" s="28">
        <f>'FY21 Final Initial $$'!CY118/'FY21 FTE'!CY$120</f>
        <v>0</v>
      </c>
      <c r="CZ118" s="20">
        <v>0</v>
      </c>
      <c r="DA118" s="20">
        <v>0</v>
      </c>
      <c r="DB118" s="20">
        <v>3500</v>
      </c>
      <c r="DC118" s="20">
        <v>30142.019842632839</v>
      </c>
      <c r="DD118" s="20">
        <v>0</v>
      </c>
      <c r="DE118" s="20">
        <v>568307.83465222199</v>
      </c>
      <c r="DF118" s="20">
        <v>0</v>
      </c>
      <c r="DG118" s="20">
        <v>0</v>
      </c>
      <c r="DH118" s="28">
        <f>'FY21 Final Initial $$'!DH118/'FY21 FTE'!DH$120</f>
        <v>0</v>
      </c>
      <c r="DI118" s="20"/>
      <c r="DJ118" s="20">
        <v>0</v>
      </c>
      <c r="DK118" s="22">
        <v>0</v>
      </c>
      <c r="DL118" s="20">
        <v>0</v>
      </c>
      <c r="DM118" s="20">
        <v>50000</v>
      </c>
      <c r="DN118" s="20">
        <v>2550000</v>
      </c>
      <c r="DO118" s="29">
        <f t="shared" si="6"/>
        <v>0</v>
      </c>
      <c r="DP118" s="29">
        <f t="shared" si="6"/>
        <v>0</v>
      </c>
      <c r="DQ118" s="29">
        <f t="shared" si="7"/>
        <v>5</v>
      </c>
      <c r="DR118" s="29">
        <f t="shared" si="8"/>
        <v>7.5909090909090908</v>
      </c>
      <c r="DS118" s="29">
        <f t="shared" si="9"/>
        <v>0</v>
      </c>
    </row>
    <row r="119" spans="1:123" x14ac:dyDescent="0.25">
      <c r="E119" s="26">
        <f>SUM(E2:E118)</f>
        <v>53033</v>
      </c>
      <c r="F119" s="26"/>
      <c r="G119" s="26">
        <f>SUM(G2:G118)</f>
        <v>24146</v>
      </c>
      <c r="H119" s="28">
        <f>SUM(H2:H118)</f>
        <v>113</v>
      </c>
      <c r="I119" s="28">
        <f t="shared" ref="I119:BJ119" si="10">SUM(I2:I118)</f>
        <v>116.5</v>
      </c>
      <c r="J119" s="28">
        <f t="shared" si="10"/>
        <v>140.01333333333332</v>
      </c>
      <c r="K119" s="28">
        <f t="shared" si="10"/>
        <v>33.299999999999997</v>
      </c>
      <c r="L119" s="28">
        <f t="shared" si="10"/>
        <v>57</v>
      </c>
      <c r="M119" s="28">
        <f t="shared" si="10"/>
        <v>101.5</v>
      </c>
      <c r="N119" s="28">
        <f t="shared" si="10"/>
        <v>117</v>
      </c>
      <c r="O119" s="28">
        <f t="shared" si="10"/>
        <v>91.999999999999986</v>
      </c>
      <c r="P119" s="28">
        <f t="shared" si="10"/>
        <v>20</v>
      </c>
      <c r="Q119" s="28">
        <f t="shared" si="10"/>
        <v>24.00001076894808</v>
      </c>
      <c r="R119" s="28">
        <f t="shared" si="10"/>
        <v>2</v>
      </c>
      <c r="S119" s="28">
        <f t="shared" si="10"/>
        <v>115</v>
      </c>
      <c r="T119" s="28">
        <f t="shared" si="10"/>
        <v>115</v>
      </c>
      <c r="U119" s="28">
        <f t="shared" si="10"/>
        <v>339</v>
      </c>
      <c r="V119" s="28">
        <f t="shared" si="10"/>
        <v>102.5</v>
      </c>
      <c r="W119" s="28">
        <f t="shared" si="10"/>
        <v>81</v>
      </c>
      <c r="X119" s="28">
        <f t="shared" si="10"/>
        <v>81</v>
      </c>
      <c r="Y119" s="28">
        <f t="shared" si="10"/>
        <v>81</v>
      </c>
      <c r="Z119" s="28">
        <f t="shared" si="10"/>
        <v>64.499999999999986</v>
      </c>
      <c r="AA119" s="28">
        <f t="shared" si="10"/>
        <v>13.999999999999998</v>
      </c>
      <c r="AB119" s="28">
        <f t="shared" si="10"/>
        <v>131</v>
      </c>
      <c r="AC119" s="28">
        <f t="shared" si="10"/>
        <v>131</v>
      </c>
      <c r="AD119" s="28">
        <f t="shared" si="10"/>
        <v>87</v>
      </c>
      <c r="AE119" s="28">
        <f t="shared" si="10"/>
        <v>92</v>
      </c>
      <c r="AF119" s="28">
        <f t="shared" si="10"/>
        <v>157</v>
      </c>
      <c r="AG119" s="28">
        <f t="shared" si="10"/>
        <v>157</v>
      </c>
      <c r="AH119" s="28">
        <f t="shared" si="10"/>
        <v>223</v>
      </c>
      <c r="AI119" s="28">
        <f t="shared" si="10"/>
        <v>223</v>
      </c>
      <c r="AJ119" s="28">
        <f t="shared" si="10"/>
        <v>209</v>
      </c>
      <c r="AK119" s="28">
        <f t="shared" si="10"/>
        <v>201</v>
      </c>
      <c r="AL119" s="28">
        <f t="shared" si="10"/>
        <v>203</v>
      </c>
      <c r="AM119" s="28">
        <f t="shared" si="10"/>
        <v>194</v>
      </c>
      <c r="AN119" s="28">
        <f t="shared" si="10"/>
        <v>182.99952619013845</v>
      </c>
      <c r="AO119" s="28">
        <f t="shared" si="10"/>
        <v>140.69999999999999</v>
      </c>
      <c r="AP119" s="28">
        <f t="shared" si="10"/>
        <v>142.09999999999997</v>
      </c>
      <c r="AQ119" s="28">
        <f t="shared" si="10"/>
        <v>138.70000000000002</v>
      </c>
      <c r="AR119" s="28">
        <f t="shared" si="10"/>
        <v>49.2</v>
      </c>
      <c r="AS119" s="28">
        <f t="shared" si="10"/>
        <v>46.4</v>
      </c>
      <c r="AT119" s="28">
        <f t="shared" si="10"/>
        <v>36.9</v>
      </c>
      <c r="AU119" s="28">
        <f t="shared" si="10"/>
        <v>31.900000000000002</v>
      </c>
      <c r="AV119" s="28">
        <f t="shared" si="10"/>
        <v>5.3</v>
      </c>
      <c r="AW119" s="28">
        <f>'FY21 Final Initial $$'!AW119/'FY21 FTE'!AW$120</f>
        <v>371.31765869540465</v>
      </c>
      <c r="AX119" s="28">
        <f>'FY21 Final Initial $$'!AX119/'FY21 FTE'!AX$120</f>
        <v>98.83097866620885</v>
      </c>
      <c r="AY119" s="28">
        <f t="shared" si="10"/>
        <v>108.5</v>
      </c>
      <c r="AZ119" s="28">
        <f t="shared" si="10"/>
        <v>222</v>
      </c>
      <c r="BA119" s="28">
        <f t="shared" si="10"/>
        <v>903</v>
      </c>
      <c r="BB119" s="28">
        <f t="shared" si="10"/>
        <v>442</v>
      </c>
      <c r="BC119" s="28">
        <f t="shared" si="10"/>
        <v>35</v>
      </c>
      <c r="BD119" s="28">
        <f t="shared" si="10"/>
        <v>12</v>
      </c>
      <c r="BE119" s="28">
        <f t="shared" si="10"/>
        <v>422.59090909090901</v>
      </c>
      <c r="BF119" s="28">
        <f t="shared" si="10"/>
        <v>15</v>
      </c>
      <c r="BG119" s="28">
        <f t="shared" si="10"/>
        <v>62.625724651794286</v>
      </c>
      <c r="BH119" s="28">
        <f t="shared" si="10"/>
        <v>209</v>
      </c>
      <c r="BI119" s="28">
        <f t="shared" si="10"/>
        <v>194</v>
      </c>
      <c r="BJ119" s="28">
        <f t="shared" si="10"/>
        <v>28</v>
      </c>
      <c r="BK119" s="17">
        <f t="shared" ref="BK119:BP119" si="11">SUM(BK2:BK118)</f>
        <v>1060000</v>
      </c>
      <c r="BL119" s="17"/>
      <c r="BM119" s="17"/>
      <c r="BN119" s="17">
        <f t="shared" si="11"/>
        <v>14118731.840000002</v>
      </c>
      <c r="BO119" s="17">
        <f t="shared" si="11"/>
        <v>232784.7099999999</v>
      </c>
      <c r="BP119" s="17">
        <f t="shared" si="11"/>
        <v>401400</v>
      </c>
      <c r="BQ119" s="28">
        <f>'FY21 Final Initial $$'!BQ119/'FY21 FTE'!BQ$120</f>
        <v>7</v>
      </c>
      <c r="BR119" s="28">
        <f>'FY21 Final Initial $$'!BR119/'FY21 FTE'!BR$120</f>
        <v>7</v>
      </c>
      <c r="BS119" s="28">
        <f>'FY21 Final Initial $$'!BS119/'FY21 FTE'!BS$120</f>
        <v>9</v>
      </c>
      <c r="BT119" s="28">
        <f>'FY21 Final Initial $$'!BT119/'FY21 FTE'!BT$120</f>
        <v>3</v>
      </c>
      <c r="BU119" s="28">
        <f>'FY21 Final Initial $$'!BU119/'FY21 FTE'!BU$120</f>
        <v>6</v>
      </c>
      <c r="BV119" s="28">
        <f>'FY21 Final Initial $$'!BV119/'FY21 FTE'!BV$120</f>
        <v>0</v>
      </c>
      <c r="BW119" s="28">
        <f>'FY21 Final Initial $$'!BW119/'FY21 FTE'!BW$120</f>
        <v>9</v>
      </c>
      <c r="BX119" s="17">
        <f t="shared" ref="BX119:DN119" si="12">SUM(BX2:BX118)</f>
        <v>104478.02</v>
      </c>
      <c r="BY119" s="17">
        <f t="shared" si="12"/>
        <v>212320</v>
      </c>
      <c r="BZ119" s="17">
        <f t="shared" si="12"/>
        <v>0</v>
      </c>
      <c r="CA119" s="17">
        <f t="shared" si="12"/>
        <v>656143.25</v>
      </c>
      <c r="CB119" s="28">
        <f t="shared" ref="CB119:CC119" si="13">SUM(CB2:CB118)</f>
        <v>2</v>
      </c>
      <c r="CC119" s="28">
        <f t="shared" si="13"/>
        <v>1.0288003274477517</v>
      </c>
      <c r="CD119" s="17">
        <f t="shared" si="12"/>
        <v>440000</v>
      </c>
      <c r="CE119" s="28">
        <f>'FY21 Final Initial $$'!CE119/'FY21 FTE'!CE$120</f>
        <v>26</v>
      </c>
      <c r="CF119" s="28">
        <f>'FY21 Final Initial $$'!CF119/'FY21 FTE'!CF$120</f>
        <v>0</v>
      </c>
      <c r="CG119" s="28">
        <f>'FY21 Final Initial $$'!CG119/'FY21 FTE'!CG$120</f>
        <v>16</v>
      </c>
      <c r="CH119" s="28">
        <f>'FY21 Final Initial $$'!CH119/'FY21 FTE'!CH$120</f>
        <v>8</v>
      </c>
      <c r="CI119" s="28">
        <f>'FY21 Final Initial $$'!CI119/'FY21 FTE'!CI$120</f>
        <v>1</v>
      </c>
      <c r="CJ119" s="28">
        <f>'FY21 Final Initial $$'!CJ119/'FY21 FTE'!CJ$120</f>
        <v>6</v>
      </c>
      <c r="CK119" s="28">
        <f>'FY21 Final Initial $$'!CK119/'FY21 FTE'!CK$120</f>
        <v>68.999999999999929</v>
      </c>
      <c r="CL119" s="28">
        <f>'FY21 Final Initial $$'!CL119/'FY21 FTE'!CL$120</f>
        <v>1</v>
      </c>
      <c r="CM119" s="17">
        <f t="shared" si="12"/>
        <v>667000</v>
      </c>
      <c r="CN119" s="17">
        <f t="shared" si="12"/>
        <v>145000</v>
      </c>
      <c r="CO119" s="17">
        <f t="shared" si="12"/>
        <v>19916998.339999985</v>
      </c>
      <c r="CP119" s="17">
        <f t="shared" si="12"/>
        <v>2900000</v>
      </c>
      <c r="CQ119" s="28">
        <f>SUM(CQ2:CQ118)</f>
        <v>15</v>
      </c>
      <c r="CR119" s="17">
        <f t="shared" si="12"/>
        <v>1125000</v>
      </c>
      <c r="CS119" s="17">
        <f t="shared" si="12"/>
        <v>571880</v>
      </c>
      <c r="CT119" s="17">
        <f t="shared" si="12"/>
        <v>3596640</v>
      </c>
      <c r="CU119" s="17">
        <f t="shared" si="12"/>
        <v>4099490.9616044173</v>
      </c>
      <c r="CV119" s="28">
        <f>'FY21 Final Initial $$'!CV119/'FY21 FTE'!CV$120</f>
        <v>12.000000000000002</v>
      </c>
      <c r="CW119" s="28">
        <f>'FY21 Final Initial $$'!CW119/'FY21 FTE'!CW$120</f>
        <v>3</v>
      </c>
      <c r="CX119" s="17">
        <f t="shared" si="12"/>
        <v>450000</v>
      </c>
      <c r="CY119" s="28">
        <f>'FY21 Final Initial $$'!CY119/'FY21 FTE'!CY$120</f>
        <v>2</v>
      </c>
      <c r="CZ119" s="17">
        <f t="shared" si="12"/>
        <v>30000</v>
      </c>
      <c r="DA119" s="17">
        <f t="shared" si="12"/>
        <v>683673.96000000008</v>
      </c>
      <c r="DB119" s="17">
        <f t="shared" si="12"/>
        <v>5303300</v>
      </c>
      <c r="DC119" s="17">
        <f t="shared" si="12"/>
        <v>11510000.989002716</v>
      </c>
      <c r="DD119" s="17">
        <f t="shared" si="12"/>
        <v>2302359.9357912336</v>
      </c>
      <c r="DE119" s="17">
        <f t="shared" si="12"/>
        <v>7112448.3347581821</v>
      </c>
      <c r="DF119" s="17">
        <f t="shared" si="12"/>
        <v>221744</v>
      </c>
      <c r="DG119" s="17">
        <f t="shared" si="12"/>
        <v>174714</v>
      </c>
      <c r="DH119" s="28">
        <f>'FY21 Final Initial $$'!DH119/'FY21 FTE'!DH$120</f>
        <v>1</v>
      </c>
      <c r="DI119" s="17">
        <f t="shared" ref="DI119" si="14">SUM(DI2:DI118)</f>
        <v>13199.999987706542</v>
      </c>
      <c r="DJ119" s="17">
        <f t="shared" si="12"/>
        <v>2489237.003667851</v>
      </c>
      <c r="DK119" s="17">
        <f t="shared" si="12"/>
        <v>447152.42068881012</v>
      </c>
      <c r="DL119" s="17">
        <f t="shared" si="12"/>
        <v>1909298.9451454752</v>
      </c>
      <c r="DM119" s="17">
        <f t="shared" si="12"/>
        <v>3425000</v>
      </c>
      <c r="DN119" s="17">
        <f t="shared" si="12"/>
        <v>807892537.20163894</v>
      </c>
      <c r="DO119" s="29">
        <f t="shared" si="6"/>
        <v>598</v>
      </c>
      <c r="DP119" s="29">
        <f t="shared" si="6"/>
        <v>603</v>
      </c>
      <c r="DQ119" s="29">
        <f t="shared" si="7"/>
        <v>2051.3481635517519</v>
      </c>
      <c r="DR119" s="29">
        <f t="shared" si="8"/>
        <v>1718.7166337427034</v>
      </c>
      <c r="DS119" s="29">
        <f t="shared" si="9"/>
        <v>457</v>
      </c>
    </row>
    <row r="120" spans="1:123" x14ac:dyDescent="0.25">
      <c r="H120" s="20">
        <v>191050.75104188372</v>
      </c>
      <c r="I120" s="20">
        <v>110891.27068881014</v>
      </c>
      <c r="J120" s="20">
        <v>152914.74921665495</v>
      </c>
      <c r="K120" s="20">
        <v>110891.27068881014</v>
      </c>
      <c r="L120" s="20">
        <v>124758.86087554789</v>
      </c>
      <c r="M120" s="20">
        <v>89505.059196611037</v>
      </c>
      <c r="N120" s="20">
        <v>59866.796146808359</v>
      </c>
      <c r="O120" s="20">
        <v>44831.193878299673</v>
      </c>
      <c r="P120" s="20">
        <v>49534.351124581444</v>
      </c>
      <c r="Q120" s="21">
        <v>69924</v>
      </c>
      <c r="R120" s="20">
        <v>69924.031375330247</v>
      </c>
      <c r="S120" s="20">
        <v>77625.750694703253</v>
      </c>
      <c r="T120" s="20">
        <v>60676.224767295193</v>
      </c>
      <c r="U120" s="20">
        <v>49716.317374927377</v>
      </c>
      <c r="V120" s="20">
        <v>110891.27068881014</v>
      </c>
      <c r="W120" s="20">
        <v>110891.27068881014</v>
      </c>
      <c r="X120" s="20">
        <v>110891.27068881014</v>
      </c>
      <c r="Y120" s="20">
        <v>110891.27068881014</v>
      </c>
      <c r="Z120" s="20">
        <v>110891.27068881014</v>
      </c>
      <c r="AA120" s="20">
        <v>110891.27068881014</v>
      </c>
      <c r="AB120" s="20">
        <v>110891.27068881014</v>
      </c>
      <c r="AC120" s="20">
        <v>33411.157694564718</v>
      </c>
      <c r="AD120" s="20">
        <v>110891.27068881014</v>
      </c>
      <c r="AE120" s="20">
        <v>33411.157694564718</v>
      </c>
      <c r="AF120" s="20">
        <v>110891.27068881014</v>
      </c>
      <c r="AG120" s="20">
        <v>33411.157694564718</v>
      </c>
      <c r="AH120" s="20">
        <v>110891.27068881014</v>
      </c>
      <c r="AI120" s="20">
        <v>33411.157694564718</v>
      </c>
      <c r="AJ120" s="20">
        <v>110891.27068881014</v>
      </c>
      <c r="AK120" s="20">
        <v>110891.27068881014</v>
      </c>
      <c r="AL120" s="20">
        <v>110891.27068881014</v>
      </c>
      <c r="AM120" s="20">
        <v>110891.27068881014</v>
      </c>
      <c r="AN120" s="20">
        <v>110891.27068880999</v>
      </c>
      <c r="AO120" s="20">
        <v>110891.27068881014</v>
      </c>
      <c r="AP120" s="20">
        <v>110891.27068881014</v>
      </c>
      <c r="AQ120" s="20">
        <v>110891.27068881014</v>
      </c>
      <c r="AR120" s="20">
        <v>110891.27068881014</v>
      </c>
      <c r="AS120" s="20">
        <v>110891.27068881014</v>
      </c>
      <c r="AT120" s="20">
        <v>110891.27068881014</v>
      </c>
      <c r="AU120" s="20">
        <v>110891.27068881014</v>
      </c>
      <c r="AV120" s="20">
        <v>110891.27068881014</v>
      </c>
      <c r="AW120" s="20">
        <v>110891.27068881014</v>
      </c>
      <c r="AX120" s="20">
        <v>110891.27068881014</v>
      </c>
      <c r="AY120" s="20">
        <v>110891.27068881014</v>
      </c>
      <c r="AZ120" s="20">
        <v>110891.27068881014</v>
      </c>
      <c r="BA120" s="20">
        <v>110891.27068881014</v>
      </c>
      <c r="BB120" s="20">
        <v>33411.157694564718</v>
      </c>
      <c r="BC120" s="20">
        <v>48327.936512970991</v>
      </c>
      <c r="BD120" s="20">
        <v>114084.97559574516</v>
      </c>
      <c r="BE120" s="20">
        <v>110891.27068881014</v>
      </c>
      <c r="BF120" s="20">
        <v>33411.157694564718</v>
      </c>
      <c r="BG120" s="20">
        <v>110891.27068881014</v>
      </c>
      <c r="BH120" s="21">
        <v>7160</v>
      </c>
      <c r="BI120" s="21">
        <v>7160</v>
      </c>
      <c r="BJ120" s="21">
        <v>10740</v>
      </c>
      <c r="BQ120" s="20">
        <v>114084.97559574516</v>
      </c>
      <c r="BR120" s="20">
        <v>110891.27068881014</v>
      </c>
      <c r="BS120" s="20">
        <v>152914.74921665495</v>
      </c>
      <c r="BT120" s="20">
        <v>110891.27068881014</v>
      </c>
      <c r="BU120" s="20">
        <v>110891.27068881014</v>
      </c>
      <c r="BV120" s="20">
        <v>152914.74921665495</v>
      </c>
      <c r="BW120" s="20">
        <v>152914.74921665495</v>
      </c>
      <c r="BX120" s="21"/>
      <c r="CB120" s="20">
        <v>110891.27068881014</v>
      </c>
      <c r="CC120" s="20">
        <v>110891.27068881014</v>
      </c>
      <c r="CE120" s="20">
        <v>110891.27068881014</v>
      </c>
      <c r="CF120" s="20">
        <v>110891.27068881014</v>
      </c>
      <c r="CG120" s="20">
        <v>140126.11598983698</v>
      </c>
      <c r="CH120" s="20">
        <v>114084.97559574516</v>
      </c>
      <c r="CI120" s="20">
        <v>110891.27068881014</v>
      </c>
      <c r="CJ120" s="20">
        <v>110891.27068881014</v>
      </c>
      <c r="CK120" s="20">
        <v>110891.27068881014</v>
      </c>
      <c r="CL120" s="20">
        <v>110891.27068881014</v>
      </c>
      <c r="CQ120" s="20">
        <v>114084.97559574516</v>
      </c>
      <c r="CV120" s="20">
        <v>114084.97559574516</v>
      </c>
      <c r="CW120" s="20">
        <v>114084.97559574516</v>
      </c>
      <c r="CY120" s="20">
        <v>114084.97559574516</v>
      </c>
      <c r="CZ120" s="21"/>
      <c r="DH120" s="21">
        <v>61311</v>
      </c>
    </row>
    <row r="121" spans="1:123" x14ac:dyDescent="0.25">
      <c r="U121" s="29">
        <f>SUM(S119:U119)</f>
        <v>569</v>
      </c>
      <c r="Z121" s="29"/>
      <c r="AX121" s="29"/>
      <c r="CU121" s="17"/>
      <c r="DA121" s="17"/>
      <c r="DC121" s="17"/>
      <c r="DE121" s="17">
        <f>DE119-[6]FTE!$CQ$120</f>
        <v>976649.33475818206</v>
      </c>
      <c r="DJ121" s="17"/>
    </row>
    <row r="122" spans="1:123" x14ac:dyDescent="0.25">
      <c r="B122" t="s">
        <v>271</v>
      </c>
      <c r="AH122" t="s">
        <v>272</v>
      </c>
      <c r="AI122" t="s">
        <v>272</v>
      </c>
      <c r="BA122" t="s">
        <v>273</v>
      </c>
      <c r="BC122" t="s">
        <v>274</v>
      </c>
      <c r="BE122" t="s">
        <v>275</v>
      </c>
      <c r="BG122" t="s">
        <v>275</v>
      </c>
      <c r="BV122" t="s">
        <v>276</v>
      </c>
      <c r="CA122" t="s">
        <v>277</v>
      </c>
      <c r="CC122" t="s">
        <v>278</v>
      </c>
      <c r="CU122" t="s">
        <v>279</v>
      </c>
      <c r="CV122" t="s">
        <v>280</v>
      </c>
      <c r="DA122" t="s">
        <v>281</v>
      </c>
      <c r="DC122" t="s">
        <v>282</v>
      </c>
      <c r="DE122" t="s">
        <v>283</v>
      </c>
      <c r="DK122" t="s">
        <v>284</v>
      </c>
    </row>
    <row r="125" spans="1:123" x14ac:dyDescent="0.25">
      <c r="J125">
        <f>335/400</f>
        <v>0.83750000000000002</v>
      </c>
    </row>
  </sheetData>
  <autoFilter ref="A1:DN122" xr:uid="{1A70226B-D92F-4170-9CCD-9EFDA6430582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9264-F551-4A6C-915D-3280CFD544B0}">
  <dimension ref="A1:EY133"/>
  <sheetViews>
    <sheetView zoomScale="70" zoomScaleNormal="70" workbookViewId="0">
      <pane xSplit="3" ySplit="2" topLeftCell="BW92" activePane="bottomRight" state="frozen"/>
      <selection pane="topRight" activeCell="D1" sqref="D1"/>
      <selection pane="bottomLeft" activeCell="A3" sqref="A3"/>
      <selection pane="bottomRight" activeCell="BY121" sqref="BY121"/>
    </sheetView>
  </sheetViews>
  <sheetFormatPr defaultColWidth="13.85546875" defaultRowHeight="15.75" x14ac:dyDescent="0.25"/>
  <cols>
    <col min="1" max="1" width="10.42578125" style="30" customWidth="1"/>
    <col min="2" max="2" width="30.28515625" style="30" customWidth="1"/>
    <col min="3" max="4" width="8.5703125" style="31" customWidth="1"/>
    <col min="5" max="5" width="11.85546875" style="106" customWidth="1"/>
    <col min="6" max="6" width="8.140625" style="106" customWidth="1"/>
    <col min="7" max="7" width="14" style="81" customWidth="1"/>
    <col min="8" max="8" width="14.140625" style="81" customWidth="1"/>
    <col min="9" max="9" width="15.28515625" style="81" customWidth="1"/>
    <col min="10" max="10" width="13.5703125" style="72" customWidth="1"/>
    <col min="11" max="11" width="13.42578125" style="72" customWidth="1"/>
    <col min="12" max="12" width="13.5703125" style="81" customWidth="1"/>
    <col min="13" max="13" width="14" style="81" customWidth="1"/>
    <col min="14" max="14" width="15.85546875" style="81" customWidth="1"/>
    <col min="15" max="15" width="13.5703125" style="110" customWidth="1"/>
    <col min="16" max="17" width="13" style="72" customWidth="1"/>
    <col min="18" max="19" width="12.5703125" style="81" customWidth="1"/>
    <col min="20" max="20" width="14.140625" style="81" customWidth="1"/>
    <col min="21" max="21" width="13.85546875" style="81" customWidth="1"/>
    <col min="22" max="23" width="12.5703125" style="81" customWidth="1"/>
    <col min="24" max="24" width="13.5703125" style="81" customWidth="1"/>
    <col min="25" max="25" width="14.7109375" style="81" customWidth="1"/>
    <col min="26" max="26" width="14.85546875" style="81" customWidth="1"/>
    <col min="27" max="27" width="17.28515625" style="81" customWidth="1"/>
    <col min="28" max="30" width="15.85546875" style="81" customWidth="1"/>
    <col min="31" max="31" width="14.140625" style="81" customWidth="1"/>
    <col min="32" max="32" width="13.5703125" style="81" customWidth="1"/>
    <col min="33" max="39" width="17.28515625" style="81" customWidth="1"/>
    <col min="40" max="40" width="17" style="72" customWidth="1"/>
    <col min="41" max="41" width="15.85546875" style="72" customWidth="1"/>
    <col min="42" max="42" width="17.28515625" style="110" customWidth="1"/>
    <col min="43" max="43" width="17.28515625" style="72" customWidth="1"/>
    <col min="44" max="44" width="17.28515625" style="81" customWidth="1"/>
    <col min="45" max="48" width="15.85546875" style="72" customWidth="1"/>
    <col min="49" max="49" width="17.28515625" style="72" customWidth="1"/>
    <col min="50" max="50" width="15.85546875" style="81" customWidth="1"/>
    <col min="51" max="53" width="17.28515625" style="81" customWidth="1"/>
    <col min="54" max="54" width="15.85546875" style="81" customWidth="1"/>
    <col min="55" max="55" width="20" style="81" customWidth="1"/>
    <col min="56" max="56" width="17.28515625" style="81" customWidth="1"/>
    <col min="57" max="57" width="13.5703125" style="110" customWidth="1"/>
    <col min="58" max="58" width="15.85546875" style="81" customWidth="1"/>
    <col min="59" max="60" width="15.85546875" style="72" customWidth="1"/>
    <col min="61" max="62" width="13.5703125" style="72" customWidth="1"/>
    <col min="63" max="64" width="15.85546875" style="72" customWidth="1"/>
    <col min="65" max="65" width="19.42578125" style="81" customWidth="1"/>
    <col min="66" max="66" width="13.5703125" style="81" customWidth="1"/>
    <col min="67" max="68" width="15.85546875" style="81" customWidth="1"/>
    <col min="69" max="69" width="13.85546875" style="81"/>
    <col min="70" max="70" width="18.28515625" style="81" customWidth="1"/>
    <col min="71" max="71" width="15.85546875" style="81" customWidth="1"/>
    <col min="72" max="73" width="15.85546875" style="72" customWidth="1"/>
    <col min="74" max="75" width="16.5703125" style="87" customWidth="1"/>
    <col min="76" max="76" width="13.140625" style="87" bestFit="1" customWidth="1"/>
    <col min="77" max="78" width="13.5703125" style="87" customWidth="1"/>
    <col min="79" max="79" width="14.140625" style="87" customWidth="1"/>
    <col min="80" max="80" width="13.5703125" style="87" customWidth="1"/>
    <col min="81" max="81" width="12.42578125" style="87" customWidth="1"/>
    <col min="82" max="82" width="15.85546875" style="87" customWidth="1"/>
    <col min="83" max="83" width="17.28515625" style="111" customWidth="1"/>
    <col min="84" max="84" width="18.140625" style="72" customWidth="1"/>
    <col min="85" max="85" width="13.5703125" style="72" customWidth="1"/>
    <col min="86" max="86" width="16.85546875" style="72" bestFit="1" customWidth="1"/>
    <col min="87" max="88" width="15.85546875" style="81" customWidth="1"/>
    <col min="89" max="89" width="19" style="72" customWidth="1"/>
    <col min="90" max="90" width="17.85546875" style="72" customWidth="1"/>
    <col min="91" max="91" width="17" style="72" bestFit="1" customWidth="1"/>
    <col min="92" max="93" width="15.85546875" style="72" customWidth="1"/>
    <col min="94" max="94" width="21.7109375" style="72" customWidth="1"/>
    <col min="95" max="96" width="15.85546875" style="72" customWidth="1"/>
    <col min="97" max="97" width="18.42578125" style="72" customWidth="1"/>
    <col min="98" max="98" width="13.28515625" style="72" customWidth="1"/>
    <col min="99" max="100" width="13.140625" style="72" customWidth="1"/>
    <col min="101" max="101" width="12.42578125" style="72" customWidth="1"/>
    <col min="102" max="102" width="14" style="72" customWidth="1"/>
    <col min="103" max="103" width="11" style="72" bestFit="1" customWidth="1"/>
    <col min="104" max="104" width="13.5703125" style="72" customWidth="1"/>
    <col min="105" max="105" width="13.42578125" style="72" customWidth="1"/>
    <col min="106" max="106" width="15" style="72" customWidth="1"/>
    <col min="107" max="107" width="15.28515625" style="81" customWidth="1"/>
    <col min="108" max="109" width="13.5703125" style="107" customWidth="1"/>
    <col min="110" max="110" width="12.5703125" style="92" customWidth="1"/>
    <col min="111" max="111" width="12.140625" style="87" customWidth="1"/>
    <col min="112" max="112" width="13.5703125" style="108" customWidth="1"/>
    <col min="113" max="113" width="12" style="87" customWidth="1"/>
    <col min="114" max="118" width="17.140625" style="72" customWidth="1"/>
    <col min="119" max="119" width="15.42578125" style="72" customWidth="1"/>
    <col min="120" max="120" width="15.28515625" style="72" customWidth="1"/>
    <col min="121" max="121" width="13.85546875" style="74"/>
    <col min="122" max="122" width="13.85546875" style="72"/>
    <col min="123" max="123" width="15.28515625" style="87" customWidth="1"/>
    <col min="124" max="124" width="15.7109375" style="72" customWidth="1"/>
    <col min="125" max="125" width="14" style="74" customWidth="1"/>
    <col min="126" max="126" width="13.7109375" style="74" customWidth="1"/>
    <col min="127" max="127" width="13.85546875" style="72"/>
    <col min="128" max="128" width="13.7109375" style="72" customWidth="1"/>
    <col min="129" max="129" width="13.5703125" style="72" customWidth="1"/>
    <col min="130" max="130" width="13.140625" style="72" customWidth="1"/>
    <col min="131" max="134" width="13.85546875" style="74"/>
    <col min="135" max="135" width="13.85546875" style="89"/>
    <col min="136" max="137" width="15" style="87" customWidth="1"/>
    <col min="138" max="139" width="15.7109375" style="87" customWidth="1"/>
    <col min="140" max="16384" width="13.85546875" style="87"/>
  </cols>
  <sheetData>
    <row r="1" spans="1:155" s="41" customFormat="1" ht="59.25" customHeight="1" x14ac:dyDescent="0.25">
      <c r="A1" s="30" t="s">
        <v>285</v>
      </c>
      <c r="B1" s="31" t="s">
        <v>286</v>
      </c>
      <c r="C1" s="31" t="s">
        <v>287</v>
      </c>
      <c r="D1" s="31" t="s">
        <v>3</v>
      </c>
      <c r="E1" s="32" t="s">
        <v>288</v>
      </c>
      <c r="F1" s="32" t="s">
        <v>289</v>
      </c>
      <c r="G1" s="33" t="s">
        <v>290</v>
      </c>
      <c r="H1" s="33" t="s">
        <v>290</v>
      </c>
      <c r="I1" s="33" t="s">
        <v>290</v>
      </c>
      <c r="J1" s="33" t="s">
        <v>290</v>
      </c>
      <c r="K1" s="33" t="s">
        <v>290</v>
      </c>
      <c r="L1" s="33" t="s">
        <v>290</v>
      </c>
      <c r="M1" s="33" t="s">
        <v>290</v>
      </c>
      <c r="N1" s="33" t="s">
        <v>290</v>
      </c>
      <c r="O1" s="33" t="s">
        <v>290</v>
      </c>
      <c r="P1" s="33" t="s">
        <v>290</v>
      </c>
      <c r="Q1" s="34" t="s">
        <v>291</v>
      </c>
      <c r="R1" s="33" t="s">
        <v>290</v>
      </c>
      <c r="S1" s="33" t="s">
        <v>290</v>
      </c>
      <c r="T1" s="33" t="s">
        <v>290</v>
      </c>
      <c r="U1" s="33" t="s">
        <v>290</v>
      </c>
      <c r="V1" s="33" t="s">
        <v>290</v>
      </c>
      <c r="W1" s="33" t="s">
        <v>290</v>
      </c>
      <c r="X1" s="33" t="s">
        <v>290</v>
      </c>
      <c r="Y1" s="33" t="s">
        <v>290</v>
      </c>
      <c r="Z1" s="34" t="s">
        <v>291</v>
      </c>
      <c r="AA1" s="33" t="s">
        <v>290</v>
      </c>
      <c r="AB1" s="33" t="s">
        <v>290</v>
      </c>
      <c r="AC1" s="33" t="s">
        <v>290</v>
      </c>
      <c r="AD1" s="33" t="s">
        <v>290</v>
      </c>
      <c r="AE1" s="33" t="s">
        <v>290</v>
      </c>
      <c r="AF1" s="33" t="s">
        <v>290</v>
      </c>
      <c r="AG1" s="33" t="s">
        <v>290</v>
      </c>
      <c r="AH1" s="33" t="s">
        <v>290</v>
      </c>
      <c r="AI1" s="33" t="s">
        <v>290</v>
      </c>
      <c r="AJ1" s="33" t="s">
        <v>290</v>
      </c>
      <c r="AK1" s="33" t="s">
        <v>290</v>
      </c>
      <c r="AL1" s="33" t="s">
        <v>290</v>
      </c>
      <c r="AM1" s="33" t="s">
        <v>290</v>
      </c>
      <c r="AN1" s="33" t="s">
        <v>290</v>
      </c>
      <c r="AO1" s="33" t="s">
        <v>290</v>
      </c>
      <c r="AP1" s="33" t="s">
        <v>290</v>
      </c>
      <c r="AQ1" s="33" t="s">
        <v>290</v>
      </c>
      <c r="AR1" s="33" t="s">
        <v>290</v>
      </c>
      <c r="AS1" s="33" t="s">
        <v>290</v>
      </c>
      <c r="AT1" s="33" t="s">
        <v>290</v>
      </c>
      <c r="AU1" s="33" t="s">
        <v>290</v>
      </c>
      <c r="AV1" s="33" t="s">
        <v>290</v>
      </c>
      <c r="AW1" s="35" t="s">
        <v>292</v>
      </c>
      <c r="AX1" s="36" t="s">
        <v>293</v>
      </c>
      <c r="AY1" s="36" t="s">
        <v>293</v>
      </c>
      <c r="AZ1" s="36" t="s">
        <v>293</v>
      </c>
      <c r="BA1" s="36" t="s">
        <v>293</v>
      </c>
      <c r="BB1" s="36" t="s">
        <v>293</v>
      </c>
      <c r="BC1" s="36" t="s">
        <v>293</v>
      </c>
      <c r="BD1" s="37" t="s">
        <v>294</v>
      </c>
      <c r="BE1" s="37" t="s">
        <v>294</v>
      </c>
      <c r="BF1" s="37" t="s">
        <v>294</v>
      </c>
      <c r="BG1" s="38" t="s">
        <v>295</v>
      </c>
      <c r="BH1" s="38" t="s">
        <v>295</v>
      </c>
      <c r="BI1" s="38" t="s">
        <v>295</v>
      </c>
      <c r="BJ1" s="33" t="s">
        <v>290</v>
      </c>
      <c r="BK1" s="38" t="s">
        <v>295</v>
      </c>
      <c r="BL1" s="39" t="s">
        <v>296</v>
      </c>
      <c r="BM1" s="39" t="s">
        <v>296</v>
      </c>
      <c r="BN1" s="39" t="s">
        <v>296</v>
      </c>
      <c r="BO1" s="39" t="s">
        <v>296</v>
      </c>
      <c r="BP1" s="40" t="s">
        <v>297</v>
      </c>
      <c r="BQ1" s="40" t="s">
        <v>297</v>
      </c>
      <c r="BR1" s="35" t="s">
        <v>291</v>
      </c>
      <c r="BS1" s="35" t="s">
        <v>291</v>
      </c>
      <c r="BT1" s="35" t="s">
        <v>291</v>
      </c>
      <c r="BU1" s="35" t="s">
        <v>291</v>
      </c>
      <c r="BV1" s="35" t="s">
        <v>291</v>
      </c>
      <c r="BW1" s="35" t="s">
        <v>291</v>
      </c>
      <c r="BX1" s="35" t="s">
        <v>291</v>
      </c>
      <c r="BY1" s="35" t="s">
        <v>291</v>
      </c>
      <c r="BZ1" s="39" t="s">
        <v>296</v>
      </c>
      <c r="CA1" s="35" t="s">
        <v>291</v>
      </c>
      <c r="CB1" s="35" t="s">
        <v>291</v>
      </c>
      <c r="CC1" s="35" t="s">
        <v>291</v>
      </c>
      <c r="CD1" s="41" t="s">
        <v>298</v>
      </c>
      <c r="CE1" s="41" t="s">
        <v>298</v>
      </c>
      <c r="CF1" s="35" t="s">
        <v>291</v>
      </c>
      <c r="CG1" s="35" t="s">
        <v>291</v>
      </c>
      <c r="CH1" s="40" t="s">
        <v>297</v>
      </c>
      <c r="CI1" s="33" t="s">
        <v>290</v>
      </c>
      <c r="CJ1" s="42" t="s">
        <v>291</v>
      </c>
      <c r="CK1" s="33" t="s">
        <v>290</v>
      </c>
      <c r="CL1" s="33" t="s">
        <v>290</v>
      </c>
      <c r="CM1" s="43" t="s">
        <v>290</v>
      </c>
      <c r="CN1" s="33" t="s">
        <v>290</v>
      </c>
      <c r="CO1" s="33" t="s">
        <v>290</v>
      </c>
      <c r="CP1" s="42" t="s">
        <v>291</v>
      </c>
      <c r="CQ1" s="42" t="s">
        <v>291</v>
      </c>
      <c r="CR1" s="42" t="s">
        <v>291</v>
      </c>
      <c r="CS1" s="33" t="s">
        <v>290</v>
      </c>
      <c r="CT1" s="33" t="s">
        <v>290</v>
      </c>
      <c r="CU1" s="42" t="s">
        <v>291</v>
      </c>
      <c r="CV1" s="33" t="s">
        <v>290</v>
      </c>
      <c r="CW1" s="42" t="s">
        <v>291</v>
      </c>
      <c r="CX1" s="40" t="s">
        <v>297</v>
      </c>
      <c r="CY1" s="40" t="s">
        <v>297</v>
      </c>
      <c r="CZ1" s="40" t="s">
        <v>297</v>
      </c>
      <c r="DA1" s="33" t="s">
        <v>290</v>
      </c>
      <c r="DB1" s="33" t="s">
        <v>290</v>
      </c>
      <c r="DC1" s="44" t="s">
        <v>129</v>
      </c>
      <c r="DD1" s="45" t="s">
        <v>128</v>
      </c>
      <c r="DE1" s="33" t="s">
        <v>290</v>
      </c>
      <c r="DF1" s="42" t="s">
        <v>291</v>
      </c>
      <c r="DG1" s="39" t="s">
        <v>296</v>
      </c>
      <c r="DH1" s="46" t="s">
        <v>115</v>
      </c>
      <c r="DN1" s="41">
        <v>2195.86</v>
      </c>
      <c r="DO1" s="32"/>
      <c r="DP1" s="32"/>
      <c r="DQ1" s="32"/>
      <c r="DR1" s="32"/>
      <c r="DS1" s="47" t="s">
        <v>298</v>
      </c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</row>
    <row r="2" spans="1:155" s="41" customFormat="1" ht="63" x14ac:dyDescent="0.25">
      <c r="A2" s="48" t="s">
        <v>0</v>
      </c>
      <c r="B2" s="48" t="s">
        <v>1</v>
      </c>
      <c r="C2" s="48" t="s">
        <v>2</v>
      </c>
      <c r="D2" s="48" t="s">
        <v>3</v>
      </c>
      <c r="E2" s="49" t="s">
        <v>299</v>
      </c>
      <c r="F2" s="49" t="s">
        <v>289</v>
      </c>
      <c r="G2" s="50" t="s">
        <v>300</v>
      </c>
      <c r="H2" s="50" t="s">
        <v>301</v>
      </c>
      <c r="I2" s="50" t="s">
        <v>302</v>
      </c>
      <c r="J2" s="51" t="s">
        <v>10</v>
      </c>
      <c r="K2" s="52" t="s">
        <v>11</v>
      </c>
      <c r="L2" s="50" t="s">
        <v>303</v>
      </c>
      <c r="M2" s="50" t="s">
        <v>304</v>
      </c>
      <c r="N2" s="50" t="s">
        <v>305</v>
      </c>
      <c r="O2" s="53" t="s">
        <v>306</v>
      </c>
      <c r="P2" s="51" t="s">
        <v>307</v>
      </c>
      <c r="Q2" s="51" t="s">
        <v>307</v>
      </c>
      <c r="R2" s="50" t="s">
        <v>308</v>
      </c>
      <c r="S2" s="50" t="s">
        <v>309</v>
      </c>
      <c r="T2" s="50" t="s">
        <v>310</v>
      </c>
      <c r="U2" s="50" t="s">
        <v>311</v>
      </c>
      <c r="V2" s="50" t="s">
        <v>22</v>
      </c>
      <c r="W2" s="50" t="s">
        <v>23</v>
      </c>
      <c r="X2" s="50" t="s">
        <v>24</v>
      </c>
      <c r="Y2" s="50" t="s">
        <v>312</v>
      </c>
      <c r="Z2" s="50" t="s">
        <v>312</v>
      </c>
      <c r="AA2" s="50" t="s">
        <v>313</v>
      </c>
      <c r="AB2" s="50" t="s">
        <v>314</v>
      </c>
      <c r="AC2" s="50" t="s">
        <v>315</v>
      </c>
      <c r="AD2" s="50" t="s">
        <v>316</v>
      </c>
      <c r="AE2" s="50" t="s">
        <v>317</v>
      </c>
      <c r="AF2" s="50" t="s">
        <v>318</v>
      </c>
      <c r="AG2" s="50" t="s">
        <v>319</v>
      </c>
      <c r="AH2" s="50" t="s">
        <v>320</v>
      </c>
      <c r="AI2" s="50" t="s">
        <v>35</v>
      </c>
      <c r="AJ2" s="50" t="s">
        <v>36</v>
      </c>
      <c r="AK2" s="50" t="s">
        <v>37</v>
      </c>
      <c r="AL2" s="50" t="s">
        <v>38</v>
      </c>
      <c r="AM2" s="50" t="s">
        <v>39</v>
      </c>
      <c r="AN2" s="50" t="s">
        <v>40</v>
      </c>
      <c r="AO2" s="50" t="s">
        <v>41</v>
      </c>
      <c r="AP2" s="50" t="s">
        <v>42</v>
      </c>
      <c r="AQ2" s="50" t="s">
        <v>43</v>
      </c>
      <c r="AR2" s="50" t="s">
        <v>44</v>
      </c>
      <c r="AS2" s="50" t="s">
        <v>45</v>
      </c>
      <c r="AT2" s="50" t="s">
        <v>46</v>
      </c>
      <c r="AU2" s="51" t="s">
        <v>47</v>
      </c>
      <c r="AV2" s="50" t="s">
        <v>48</v>
      </c>
      <c r="AW2" s="50" t="s">
        <v>48</v>
      </c>
      <c r="AX2" s="50" t="s">
        <v>321</v>
      </c>
      <c r="AY2" s="50" t="s">
        <v>322</v>
      </c>
      <c r="AZ2" s="50" t="s">
        <v>323</v>
      </c>
      <c r="BA2" s="50" t="s">
        <v>324</v>
      </c>
      <c r="BB2" s="50" t="s">
        <v>325</v>
      </c>
      <c r="BC2" s="50" t="s">
        <v>326</v>
      </c>
      <c r="BD2" s="50" t="s">
        <v>327</v>
      </c>
      <c r="BE2" s="53" t="s">
        <v>328</v>
      </c>
      <c r="BF2" s="50" t="s">
        <v>329</v>
      </c>
      <c r="BG2" s="50" t="s">
        <v>330</v>
      </c>
      <c r="BH2" s="50" t="s">
        <v>331</v>
      </c>
      <c r="BI2" s="50" t="s">
        <v>332</v>
      </c>
      <c r="BJ2" s="50" t="s">
        <v>333</v>
      </c>
      <c r="BK2" s="50" t="s">
        <v>333</v>
      </c>
      <c r="BL2" s="50" t="s">
        <v>334</v>
      </c>
      <c r="BM2" s="50" t="s">
        <v>65</v>
      </c>
      <c r="BN2" s="50" t="s">
        <v>66</v>
      </c>
      <c r="BO2" s="50" t="s">
        <v>67</v>
      </c>
      <c r="BP2" s="50" t="s">
        <v>68</v>
      </c>
      <c r="BQ2" s="50" t="s">
        <v>69</v>
      </c>
      <c r="BR2" s="50" t="s">
        <v>70</v>
      </c>
      <c r="BS2" s="50" t="s">
        <v>335</v>
      </c>
      <c r="BT2" s="50" t="s">
        <v>336</v>
      </c>
      <c r="BU2" s="50" t="s">
        <v>73</v>
      </c>
      <c r="BV2" s="51" t="s">
        <v>337</v>
      </c>
      <c r="BW2" s="51" t="s">
        <v>75</v>
      </c>
      <c r="BX2" s="51" t="s">
        <v>264</v>
      </c>
      <c r="BY2" s="51" t="s">
        <v>77</v>
      </c>
      <c r="BZ2" s="51" t="s">
        <v>78</v>
      </c>
      <c r="CA2" s="51" t="s">
        <v>338</v>
      </c>
      <c r="CB2" s="51" t="s">
        <v>339</v>
      </c>
      <c r="CC2" s="51" t="s">
        <v>340</v>
      </c>
      <c r="CD2" s="51" t="s">
        <v>341</v>
      </c>
      <c r="CE2" s="50" t="s">
        <v>83</v>
      </c>
      <c r="CF2" s="50" t="s">
        <v>84</v>
      </c>
      <c r="CG2" s="50" t="s">
        <v>85</v>
      </c>
      <c r="CH2" s="50" t="s">
        <v>87</v>
      </c>
      <c r="CI2" s="50" t="s">
        <v>88</v>
      </c>
      <c r="CJ2" s="50" t="s">
        <v>88</v>
      </c>
      <c r="CK2" s="50" t="s">
        <v>342</v>
      </c>
      <c r="CL2" s="50" t="s">
        <v>343</v>
      </c>
      <c r="CM2" s="50" t="s">
        <v>344</v>
      </c>
      <c r="CN2" s="54" t="s">
        <v>345</v>
      </c>
      <c r="CO2" s="50" t="s">
        <v>94</v>
      </c>
      <c r="CP2" s="50" t="s">
        <v>346</v>
      </c>
      <c r="CQ2" s="54" t="s">
        <v>96</v>
      </c>
      <c r="CR2" s="54" t="s">
        <v>97</v>
      </c>
      <c r="CS2" s="51" t="s">
        <v>98</v>
      </c>
      <c r="CT2" s="51" t="s">
        <v>99</v>
      </c>
      <c r="CU2" s="51" t="s">
        <v>99</v>
      </c>
      <c r="CV2" s="51" t="s">
        <v>101</v>
      </c>
      <c r="CW2" s="51" t="s">
        <v>101</v>
      </c>
      <c r="CX2" s="51" t="s">
        <v>102</v>
      </c>
      <c r="CY2" s="51" t="s">
        <v>103</v>
      </c>
      <c r="CZ2" s="51" t="s">
        <v>104</v>
      </c>
      <c r="DA2" s="51" t="s">
        <v>105</v>
      </c>
      <c r="DB2" s="55" t="s">
        <v>106</v>
      </c>
      <c r="DC2" s="50" t="s">
        <v>107</v>
      </c>
      <c r="DD2" s="54" t="s">
        <v>108</v>
      </c>
      <c r="DE2" s="54" t="s">
        <v>113</v>
      </c>
      <c r="DF2" s="54" t="s">
        <v>113</v>
      </c>
      <c r="DG2" s="51" t="s">
        <v>347</v>
      </c>
      <c r="DH2" s="50" t="s">
        <v>115</v>
      </c>
      <c r="DI2" s="56" t="s">
        <v>348</v>
      </c>
      <c r="DJ2" s="57" t="s">
        <v>349</v>
      </c>
      <c r="DK2" s="58" t="s">
        <v>350</v>
      </c>
      <c r="DL2" s="58" t="s">
        <v>351</v>
      </c>
      <c r="DM2" s="58" t="s">
        <v>352</v>
      </c>
      <c r="DN2" s="41" t="s">
        <v>353</v>
      </c>
      <c r="DO2" s="59" t="s">
        <v>120</v>
      </c>
      <c r="DP2" s="60" t="s">
        <v>121</v>
      </c>
      <c r="DQ2" s="61" t="s">
        <v>122</v>
      </c>
      <c r="DR2" s="61" t="s">
        <v>123</v>
      </c>
      <c r="DS2" s="62" t="s">
        <v>354</v>
      </c>
      <c r="DT2" s="63" t="s">
        <v>125</v>
      </c>
      <c r="DU2" s="64" t="s">
        <v>126</v>
      </c>
      <c r="DV2" s="65" t="s">
        <v>296</v>
      </c>
      <c r="DW2" s="66" t="s">
        <v>128</v>
      </c>
      <c r="DX2" s="67" t="s">
        <v>129</v>
      </c>
      <c r="DY2" s="68" t="s">
        <v>115</v>
      </c>
      <c r="DZ2" s="69" t="s">
        <v>92</v>
      </c>
      <c r="EA2" s="70" t="s">
        <v>130</v>
      </c>
      <c r="EB2" s="60" t="s">
        <v>120</v>
      </c>
      <c r="EC2" s="60" t="s">
        <v>121</v>
      </c>
      <c r="ED2" s="71" t="s">
        <v>132</v>
      </c>
      <c r="EE2" s="71" t="s">
        <v>131</v>
      </c>
      <c r="EF2" s="71" t="s">
        <v>133</v>
      </c>
      <c r="EG2" s="71" t="s">
        <v>355</v>
      </c>
      <c r="EH2" s="41" t="s">
        <v>356</v>
      </c>
      <c r="EI2" s="72" t="s">
        <v>357</v>
      </c>
      <c r="EJ2" s="73" t="s">
        <v>358</v>
      </c>
      <c r="EK2" s="41" t="s">
        <v>359</v>
      </c>
      <c r="EM2" s="72" t="s">
        <v>360</v>
      </c>
      <c r="EN2" s="73" t="s">
        <v>361</v>
      </c>
      <c r="EO2" s="74" t="s">
        <v>362</v>
      </c>
      <c r="EP2" s="41" t="s">
        <v>363</v>
      </c>
      <c r="EQ2" s="41" t="s">
        <v>364</v>
      </c>
      <c r="ER2" s="41" t="s">
        <v>365</v>
      </c>
      <c r="ES2" s="73" t="s">
        <v>366</v>
      </c>
      <c r="ET2" s="73"/>
      <c r="EU2" s="73"/>
      <c r="EV2" s="73"/>
      <c r="EW2" s="75"/>
      <c r="EX2" s="41" t="s">
        <v>367</v>
      </c>
      <c r="EY2" s="41" t="s">
        <v>368</v>
      </c>
    </row>
    <row r="3" spans="1:155" x14ac:dyDescent="0.25">
      <c r="A3" s="76">
        <v>202</v>
      </c>
      <c r="B3" s="76" t="s">
        <v>134</v>
      </c>
      <c r="C3" s="77" t="s">
        <v>135</v>
      </c>
      <c r="D3" s="41">
        <v>7</v>
      </c>
      <c r="E3" s="78">
        <v>244</v>
      </c>
      <c r="F3" s="78">
        <v>222.02281368821292</v>
      </c>
      <c r="G3" s="79">
        <v>173177.12015668923</v>
      </c>
      <c r="H3" s="79">
        <v>109114.27619794433</v>
      </c>
      <c r="I3" s="79">
        <v>0</v>
      </c>
      <c r="J3" s="79">
        <v>0</v>
      </c>
      <c r="K3" s="79">
        <v>0</v>
      </c>
      <c r="L3" s="79">
        <v>40788.660078344612</v>
      </c>
      <c r="M3" s="79">
        <v>59319.676384927567</v>
      </c>
      <c r="N3" s="79">
        <v>0</v>
      </c>
      <c r="O3" s="79">
        <v>0</v>
      </c>
      <c r="P3" s="79">
        <v>0</v>
      </c>
      <c r="Q3" s="79"/>
      <c r="R3" s="79">
        <v>69375.836746740591</v>
      </c>
      <c r="S3" s="79">
        <v>54629.386746740587</v>
      </c>
      <c r="T3" s="79">
        <v>48958.736746740586</v>
      </c>
      <c r="U3" s="79">
        <v>54557.138098972166</v>
      </c>
      <c r="V3" s="79">
        <v>109114.27619794433</v>
      </c>
      <c r="W3" s="79">
        <v>109114.27619794433</v>
      </c>
      <c r="X3" s="79">
        <v>109114.27619794433</v>
      </c>
      <c r="Y3" s="79">
        <v>0</v>
      </c>
      <c r="Z3" s="79"/>
      <c r="AA3" s="79">
        <v>218228.55239588866</v>
      </c>
      <c r="AB3" s="79">
        <v>68805.252769855142</v>
      </c>
      <c r="AC3" s="79">
        <v>109114.27619794433</v>
      </c>
      <c r="AD3" s="79">
        <v>34402.626384927571</v>
      </c>
      <c r="AE3" s="79">
        <v>218228.55239588866</v>
      </c>
      <c r="AF3" s="79">
        <v>68805.252769855142</v>
      </c>
      <c r="AG3" s="79">
        <v>218228.55239588866</v>
      </c>
      <c r="AH3" s="79">
        <v>68805.252769855142</v>
      </c>
      <c r="AI3" s="79">
        <v>218228.55239588866</v>
      </c>
      <c r="AJ3" s="79">
        <v>109114.27619794433</v>
      </c>
      <c r="AK3" s="79">
        <v>109114.27619794433</v>
      </c>
      <c r="AL3" s="79">
        <v>109114.27619794433</v>
      </c>
      <c r="AM3" s="79">
        <v>109114.27619794433</v>
      </c>
      <c r="AN3" s="79">
        <v>0</v>
      </c>
      <c r="AO3" s="79">
        <v>0</v>
      </c>
      <c r="AP3" s="79">
        <v>0</v>
      </c>
      <c r="AQ3" s="79">
        <v>0</v>
      </c>
      <c r="AR3" s="79">
        <v>0</v>
      </c>
      <c r="AS3" s="79">
        <v>0</v>
      </c>
      <c r="AT3" s="79">
        <v>0</v>
      </c>
      <c r="AU3" s="79">
        <v>0</v>
      </c>
      <c r="AV3" s="79"/>
      <c r="AW3" s="79">
        <v>0</v>
      </c>
      <c r="AX3" s="79">
        <v>109114.27619794433</v>
      </c>
      <c r="AY3" s="79">
        <v>109114.27619794433</v>
      </c>
      <c r="AZ3" s="79">
        <v>545571.38098972163</v>
      </c>
      <c r="BA3" s="79">
        <v>68805.252769855142</v>
      </c>
      <c r="BB3" s="79">
        <v>0</v>
      </c>
      <c r="BC3" s="79">
        <v>0</v>
      </c>
      <c r="BD3" s="79">
        <v>9919.4796543585762</v>
      </c>
      <c r="BE3" s="79">
        <v>0</v>
      </c>
      <c r="BF3" s="79">
        <v>0</v>
      </c>
      <c r="BG3" s="79">
        <f>17958-BL3</f>
        <v>6360.9</v>
      </c>
      <c r="BH3" s="79">
        <v>16836</v>
      </c>
      <c r="BI3" s="79">
        <v>6734</v>
      </c>
      <c r="BJ3" s="79"/>
      <c r="BK3" s="79">
        <v>0</v>
      </c>
      <c r="BL3" s="79">
        <v>11597.1</v>
      </c>
      <c r="BM3" s="79">
        <v>113142.61</v>
      </c>
      <c r="BN3" s="79">
        <v>1800.39</v>
      </c>
      <c r="BO3" s="79">
        <v>0</v>
      </c>
      <c r="BP3" s="79">
        <v>0</v>
      </c>
      <c r="BQ3" s="79">
        <v>0</v>
      </c>
      <c r="BR3" s="79">
        <v>0</v>
      </c>
      <c r="BS3" s="79">
        <v>0</v>
      </c>
      <c r="BT3" s="79">
        <v>0</v>
      </c>
      <c r="BU3" s="79">
        <v>0</v>
      </c>
      <c r="BV3" s="80">
        <v>0</v>
      </c>
      <c r="BW3" s="80">
        <v>0</v>
      </c>
      <c r="BX3" s="80">
        <v>0</v>
      </c>
      <c r="BY3" s="80">
        <v>0</v>
      </c>
      <c r="BZ3" s="80">
        <v>0</v>
      </c>
      <c r="CA3" s="80">
        <v>0</v>
      </c>
      <c r="CB3" s="80">
        <v>0</v>
      </c>
      <c r="CC3" s="80">
        <v>0</v>
      </c>
      <c r="CD3" s="79">
        <v>0</v>
      </c>
      <c r="CE3" s="79">
        <v>0</v>
      </c>
      <c r="CF3" s="79">
        <v>0</v>
      </c>
      <c r="CG3" s="79">
        <v>0</v>
      </c>
      <c r="CH3" s="79">
        <v>0</v>
      </c>
      <c r="CJ3" s="79">
        <v>0</v>
      </c>
      <c r="CK3" s="79">
        <v>0</v>
      </c>
      <c r="CL3" s="79">
        <v>0</v>
      </c>
      <c r="CM3" s="79">
        <v>54082.8</v>
      </c>
      <c r="CN3" s="79">
        <v>0</v>
      </c>
      <c r="CO3" s="79">
        <v>0</v>
      </c>
      <c r="CP3" s="79">
        <v>0</v>
      </c>
      <c r="CQ3" s="79">
        <v>8880.9125475285164</v>
      </c>
      <c r="CR3" s="79">
        <v>0</v>
      </c>
      <c r="CS3" s="79">
        <v>14158.06334841629</v>
      </c>
      <c r="CT3" s="79"/>
      <c r="CU3" s="79">
        <v>0</v>
      </c>
      <c r="CV3" s="79"/>
      <c r="CW3" s="79">
        <v>0</v>
      </c>
      <c r="CX3" s="79">
        <v>0</v>
      </c>
      <c r="CY3" s="79">
        <v>0</v>
      </c>
      <c r="CZ3" s="79">
        <v>0</v>
      </c>
      <c r="DA3" s="79">
        <v>24400</v>
      </c>
      <c r="DB3" s="79">
        <v>55369.386043339262</v>
      </c>
      <c r="DC3" s="82">
        <v>0</v>
      </c>
      <c r="DD3" s="79">
        <v>15363.214285714286</v>
      </c>
      <c r="DE3" s="79"/>
      <c r="DF3" s="79">
        <v>15000</v>
      </c>
      <c r="DG3" s="79">
        <v>0</v>
      </c>
      <c r="DH3" s="83">
        <v>0</v>
      </c>
      <c r="DI3" s="79">
        <v>15503.351135465262</v>
      </c>
      <c r="DJ3" s="79">
        <v>3782817.6770535237</v>
      </c>
      <c r="DK3" s="84">
        <v>36108.152946476359</v>
      </c>
      <c r="DL3" s="84">
        <v>0</v>
      </c>
      <c r="DM3" s="84">
        <f>SUM(DJ3:DL3)</f>
        <v>3818925.83</v>
      </c>
      <c r="DN3" s="84">
        <f>'[7]FY20 Initial Budget Alloca FTE'!F3*DN$1</f>
        <v>487531.01566539926</v>
      </c>
      <c r="DO3" s="81">
        <f t="shared" ref="DO3:DO66" si="0">SUM(BG3:BI3,BK3)</f>
        <v>29930.9</v>
      </c>
      <c r="DP3" s="81">
        <f>SUM(Q3,Z3,AW3,BR3:BY3,CA3:CC3,CF3:CG3,CJ3,CP3:CR3,CU3,CW3,DF3)</f>
        <v>23880.912547528518</v>
      </c>
      <c r="DQ3" s="74">
        <f>DN3-DP3-SUM(BG3:BI3,BK3)</f>
        <v>433719.20311787073</v>
      </c>
      <c r="DR3" s="85">
        <f>DQ3/DN3</f>
        <v>0.8896238171143136</v>
      </c>
      <c r="DS3" s="81">
        <f>SUM(G3:P3,R3:Y3,AA3:AV3,BJ3,CD3:CE3,CH3:CI3,CK3,CL3,CN3:CO3,CS3:CT3,CV3,DA3:DB3,DE3)+SUM(BP3:BQ3,CX3:CZ3)-EA3</f>
        <v>2256775.8812925862</v>
      </c>
      <c r="DT3" s="81">
        <f t="shared" ref="DT3:DT66" si="1">SUM(AX3:BC3)</f>
        <v>832605.18615546543</v>
      </c>
      <c r="DU3" s="81">
        <f t="shared" ref="DU3:DU66" si="2">SUM(BD3:BF3)</f>
        <v>9919.4796543585762</v>
      </c>
      <c r="DV3" s="81">
        <f t="shared" ref="DV3:DV34" si="3">SUM(BL3:BO3,BZ3,DG3)</f>
        <v>126540.1</v>
      </c>
      <c r="DW3" s="81">
        <f t="shared" ref="DW3:DW34" si="4">SUM(DD3)</f>
        <v>15363.214285714286</v>
      </c>
      <c r="DX3" s="81">
        <f t="shared" ref="DX3:DX34" si="5">SUM(DC3)</f>
        <v>0</v>
      </c>
      <c r="DY3" s="81">
        <f t="shared" ref="DY3:DY34" si="6">SUM(DH3)</f>
        <v>0</v>
      </c>
      <c r="DZ3" s="81">
        <f t="shared" ref="DZ3:DZ34" si="7">SUM(CM3)</f>
        <v>54082.8</v>
      </c>
      <c r="EA3" s="74">
        <f t="shared" ref="EA3:EA66" si="8">DQ3</f>
        <v>433719.20311787073</v>
      </c>
      <c r="EB3" s="81">
        <f t="shared" ref="EB3:EC34" si="9">DO3</f>
        <v>29930.9</v>
      </c>
      <c r="EC3" s="81">
        <f t="shared" si="9"/>
        <v>23880.912547528518</v>
      </c>
      <c r="ED3" s="86">
        <f>EA3/EE3</f>
        <v>0.8896238171143136</v>
      </c>
      <c r="EE3" s="81">
        <f>SUM(EA3:EC3)</f>
        <v>487531.01566539926</v>
      </c>
      <c r="EF3" s="81">
        <f>SUM(DS3:EC3)</f>
        <v>3782817.6770535237</v>
      </c>
      <c r="EG3" s="81">
        <f t="shared" ref="EG3:EG66" si="10">DJ3-EF3</f>
        <v>0</v>
      </c>
      <c r="EH3" s="81">
        <v>3654620.555980443</v>
      </c>
      <c r="EI3" s="84">
        <f t="shared" ref="EI3:EI8" si="11">DJ3-CM3</f>
        <v>3728734.8770535239</v>
      </c>
      <c r="EJ3" s="74">
        <f t="shared" ref="EJ3:EJ66" si="12">DJ3-EH3</f>
        <v>128197.12107308069</v>
      </c>
      <c r="EK3" s="74">
        <f t="shared" ref="EK3:EK66" si="13">EI3-EH3</f>
        <v>74114.321073080879</v>
      </c>
      <c r="EM3" s="88">
        <f t="shared" ref="EM3:EM66" si="14">E3</f>
        <v>244</v>
      </c>
      <c r="EN3" s="74">
        <v>241</v>
      </c>
      <c r="EO3" s="74">
        <f t="shared" ref="EO3:EO66" si="15">E3-EN3</f>
        <v>3</v>
      </c>
      <c r="EP3" s="72">
        <v>244</v>
      </c>
      <c r="EQ3" s="74">
        <f>EP3-EN3</f>
        <v>3</v>
      </c>
      <c r="ER3" s="72">
        <v>225</v>
      </c>
      <c r="ES3" s="74">
        <f>EM3-ER3</f>
        <v>19</v>
      </c>
      <c r="ET3" s="74"/>
      <c r="EU3" s="74"/>
      <c r="EV3" s="74"/>
      <c r="EW3" s="89"/>
      <c r="EX3" s="81">
        <f>SUM(G3:BI3,BP3:BV3,CA3:CB3,CD3:CJ3,CO3,CU3,CX3)</f>
        <v>3469023.2008285257</v>
      </c>
      <c r="EY3" s="81">
        <f>SUM(BK3:BO3,BW3:BZ3,CC3,CK3:CN3,CP3:CS3,CW3,CY3:DH3)</f>
        <v>313794.47622499836</v>
      </c>
    </row>
    <row r="4" spans="1:155" x14ac:dyDescent="0.25">
      <c r="A4" s="76">
        <v>203</v>
      </c>
      <c r="B4" s="76" t="s">
        <v>136</v>
      </c>
      <c r="C4" s="77" t="s">
        <v>135</v>
      </c>
      <c r="D4" s="41">
        <v>6</v>
      </c>
      <c r="E4" s="78">
        <v>342</v>
      </c>
      <c r="F4" s="78">
        <v>253.35446685878964</v>
      </c>
      <c r="G4" s="79">
        <v>173177.12015668923</v>
      </c>
      <c r="H4" s="79">
        <v>109114.27619794433</v>
      </c>
      <c r="I4" s="79">
        <v>126355.69814102032</v>
      </c>
      <c r="J4" s="79">
        <v>0</v>
      </c>
      <c r="K4" s="79">
        <v>0</v>
      </c>
      <c r="L4" s="79">
        <v>81577.320156689224</v>
      </c>
      <c r="M4" s="79">
        <v>59319.676384927567</v>
      </c>
      <c r="N4" s="79">
        <v>0</v>
      </c>
      <c r="O4" s="79">
        <v>0</v>
      </c>
      <c r="P4" s="79">
        <v>0</v>
      </c>
      <c r="Q4" s="79"/>
      <c r="R4" s="79">
        <v>69375.836746740591</v>
      </c>
      <c r="S4" s="79">
        <v>54629.386746740587</v>
      </c>
      <c r="T4" s="79">
        <v>97917.473493481171</v>
      </c>
      <c r="U4" s="79">
        <v>109114.27619794433</v>
      </c>
      <c r="V4" s="79">
        <v>109114.27619794433</v>
      </c>
      <c r="W4" s="79">
        <v>109114.27619794433</v>
      </c>
      <c r="X4" s="79">
        <v>109114.27619794433</v>
      </c>
      <c r="Y4" s="79">
        <v>0</v>
      </c>
      <c r="Z4" s="79"/>
      <c r="AA4" s="79">
        <v>109114.27619794433</v>
      </c>
      <c r="AB4" s="79">
        <v>34402.626384927571</v>
      </c>
      <c r="AC4" s="79">
        <v>327342.82859383302</v>
      </c>
      <c r="AD4" s="79">
        <v>137610.50553971028</v>
      </c>
      <c r="AE4" s="79">
        <v>109114.27619794433</v>
      </c>
      <c r="AF4" s="79">
        <v>34402.626384927571</v>
      </c>
      <c r="AG4" s="79">
        <v>218228.55239588866</v>
      </c>
      <c r="AH4" s="79">
        <v>68805.252769855142</v>
      </c>
      <c r="AI4" s="79">
        <v>218228.55239588866</v>
      </c>
      <c r="AJ4" s="79">
        <v>218228.55239588866</v>
      </c>
      <c r="AK4" s="79">
        <v>218228.55239588866</v>
      </c>
      <c r="AL4" s="79">
        <v>218228.55239588866</v>
      </c>
      <c r="AM4" s="79">
        <v>327342.82859383302</v>
      </c>
      <c r="AN4" s="79">
        <v>0</v>
      </c>
      <c r="AO4" s="79">
        <v>0</v>
      </c>
      <c r="AP4" s="79">
        <v>0</v>
      </c>
      <c r="AQ4" s="79">
        <v>0</v>
      </c>
      <c r="AR4" s="79">
        <v>0</v>
      </c>
      <c r="AS4" s="79">
        <v>0</v>
      </c>
      <c r="AT4" s="79">
        <v>0</v>
      </c>
      <c r="AU4" s="79">
        <v>0</v>
      </c>
      <c r="AV4" s="79"/>
      <c r="AW4" s="79">
        <v>0</v>
      </c>
      <c r="AX4" s="79">
        <v>109114.27619794433</v>
      </c>
      <c r="AY4" s="79">
        <v>218228.55239588866</v>
      </c>
      <c r="AZ4" s="79">
        <v>763799.93338561035</v>
      </c>
      <c r="BA4" s="79">
        <v>68805.252769855142</v>
      </c>
      <c r="BB4" s="79">
        <v>0</v>
      </c>
      <c r="BC4" s="79">
        <v>0</v>
      </c>
      <c r="BD4" s="79">
        <v>34718.178790255013</v>
      </c>
      <c r="BE4" s="79">
        <v>0</v>
      </c>
      <c r="BF4" s="79">
        <v>0</v>
      </c>
      <c r="BG4" s="79">
        <v>47888</v>
      </c>
      <c r="BH4" s="79">
        <v>44896</v>
      </c>
      <c r="BI4" s="79">
        <v>6734</v>
      </c>
      <c r="BJ4" s="79"/>
      <c r="BK4" s="79">
        <v>0</v>
      </c>
      <c r="BL4" s="79"/>
      <c r="BM4" s="79">
        <v>166861.59</v>
      </c>
      <c r="BN4" s="79">
        <v>2655.2</v>
      </c>
      <c r="BO4" s="79">
        <v>0</v>
      </c>
      <c r="BP4" s="79">
        <v>0</v>
      </c>
      <c r="BQ4" s="79">
        <v>0</v>
      </c>
      <c r="BR4" s="79">
        <v>0</v>
      </c>
      <c r="BS4" s="79">
        <v>0</v>
      </c>
      <c r="BT4" s="79">
        <v>0</v>
      </c>
      <c r="BU4" s="79">
        <v>0</v>
      </c>
      <c r="BV4" s="80">
        <v>0</v>
      </c>
      <c r="BW4" s="80">
        <v>0</v>
      </c>
      <c r="BX4" s="80">
        <v>0</v>
      </c>
      <c r="BY4" s="80">
        <v>0</v>
      </c>
      <c r="BZ4" s="80">
        <v>0</v>
      </c>
      <c r="CA4" s="80">
        <v>0</v>
      </c>
      <c r="CB4" s="80">
        <v>0</v>
      </c>
      <c r="CC4" s="80">
        <v>0</v>
      </c>
      <c r="CD4" s="79">
        <v>0</v>
      </c>
      <c r="CE4" s="79">
        <v>0</v>
      </c>
      <c r="CF4" s="79">
        <v>0</v>
      </c>
      <c r="CG4" s="79">
        <v>0</v>
      </c>
      <c r="CH4" s="79">
        <v>0</v>
      </c>
      <c r="CI4" s="79">
        <v>0</v>
      </c>
      <c r="CJ4" s="79">
        <v>0</v>
      </c>
      <c r="CK4" s="79">
        <v>0</v>
      </c>
      <c r="CL4" s="79">
        <v>0</v>
      </c>
      <c r="CM4" s="79">
        <v>54082.8</v>
      </c>
      <c r="CN4" s="79">
        <v>0</v>
      </c>
      <c r="CO4" s="79">
        <v>0</v>
      </c>
      <c r="CP4" s="79">
        <v>0</v>
      </c>
      <c r="CQ4" s="79">
        <v>5067.0893371757929</v>
      </c>
      <c r="CR4" s="79">
        <v>0</v>
      </c>
      <c r="CS4" s="79">
        <v>19675.7</v>
      </c>
      <c r="CT4" s="79"/>
      <c r="CU4" s="79">
        <v>0</v>
      </c>
      <c r="CV4" s="79"/>
      <c r="CW4" s="79">
        <v>0</v>
      </c>
      <c r="CX4" s="79">
        <v>0</v>
      </c>
      <c r="CY4" s="79">
        <v>0</v>
      </c>
      <c r="CZ4" s="79">
        <v>0</v>
      </c>
      <c r="DA4" s="79">
        <v>34200</v>
      </c>
      <c r="DB4" s="79">
        <v>74734.075910867527</v>
      </c>
      <c r="DC4" s="82">
        <v>0</v>
      </c>
      <c r="DD4" s="79">
        <v>0</v>
      </c>
      <c r="DE4" s="79"/>
      <c r="DF4" s="79">
        <v>35350</v>
      </c>
      <c r="DG4" s="79">
        <v>0</v>
      </c>
      <c r="DH4" s="83">
        <v>0</v>
      </c>
      <c r="DI4" s="79">
        <v>15011.732527035163</v>
      </c>
      <c r="DJ4" s="79">
        <v>5134012.5242460249</v>
      </c>
      <c r="DK4" s="84">
        <v>63669.475753975101</v>
      </c>
      <c r="DL4" s="84">
        <v>0</v>
      </c>
      <c r="DM4" s="84">
        <f t="shared" ref="DM4:DM67" si="16">SUM(DJ4:DL4)</f>
        <v>5197682</v>
      </c>
      <c r="DN4" s="84">
        <f>'[7]FY20 Initial Budget Alloca FTE'!F4*DN$1</f>
        <v>556330.93959654181</v>
      </c>
      <c r="DO4" s="81">
        <f t="shared" si="0"/>
        <v>99518</v>
      </c>
      <c r="DP4" s="81">
        <f t="shared" ref="DP4:DP67" si="17">SUM(Q4,Z4,AW4,BR4:BY4,CA4:CC4,CF4:CG4,CJ4,CP4:CR4,CU4,CW4,DF4)</f>
        <v>40417.089337175792</v>
      </c>
      <c r="DQ4" s="74">
        <f t="shared" ref="DQ4:DQ67" si="18">DN4-DP4-SUM(BG4:BI4,BK4)</f>
        <v>416395.85025936604</v>
      </c>
      <c r="DR4" s="85">
        <f>DQ4/DN4</f>
        <v>0.74846790034963995</v>
      </c>
      <c r="DS4" s="81">
        <f t="shared" ref="DS4:DS67" si="19">SUM(G4:P4,R4:Y4,AA4:AV4,BJ4,CD4:CE4,CH4:CI4,CK4,CL4,CN4:CO4,CS4:CT4,CV4,DA4:DB4,DE4)+SUM(BP4:BQ4,CX4:CZ4)-EA4</f>
        <v>3159415.8011099305</v>
      </c>
      <c r="DT4" s="81">
        <f t="shared" si="1"/>
        <v>1159948.0147492986</v>
      </c>
      <c r="DU4" s="81">
        <f t="shared" si="2"/>
        <v>34718.178790255013</v>
      </c>
      <c r="DV4" s="81">
        <f t="shared" si="3"/>
        <v>169516.79</v>
      </c>
      <c r="DW4" s="81">
        <f t="shared" si="4"/>
        <v>0</v>
      </c>
      <c r="DX4" s="81">
        <f t="shared" si="5"/>
        <v>0</v>
      </c>
      <c r="DY4" s="81">
        <f t="shared" si="6"/>
        <v>0</v>
      </c>
      <c r="DZ4" s="81">
        <f t="shared" si="7"/>
        <v>54082.8</v>
      </c>
      <c r="EA4" s="74">
        <f t="shared" si="8"/>
        <v>416395.85025936604</v>
      </c>
      <c r="EB4" s="81">
        <f t="shared" si="9"/>
        <v>99518</v>
      </c>
      <c r="EC4" s="81">
        <f t="shared" si="9"/>
        <v>40417.089337175792</v>
      </c>
      <c r="ED4" s="86">
        <f t="shared" ref="ED4:ED67" si="20">EA4/EE4</f>
        <v>0.74846790034963995</v>
      </c>
      <c r="EE4" s="81">
        <f t="shared" ref="EE4:EE67" si="21">SUM(EA4:EC4)</f>
        <v>556330.93959654181</v>
      </c>
      <c r="EF4" s="81">
        <f t="shared" ref="EF4:EF67" si="22">SUM(DS4:EC4)</f>
        <v>5134012.5242460268</v>
      </c>
      <c r="EG4" s="81">
        <f t="shared" si="10"/>
        <v>0</v>
      </c>
      <c r="EH4" s="81">
        <v>4883464.9667282179</v>
      </c>
      <c r="EI4" s="84">
        <f t="shared" si="11"/>
        <v>5079929.7242460251</v>
      </c>
      <c r="EJ4" s="74">
        <f t="shared" si="12"/>
        <v>250547.557517807</v>
      </c>
      <c r="EK4" s="74">
        <f t="shared" si="13"/>
        <v>196464.75751780719</v>
      </c>
      <c r="EM4" s="88">
        <f t="shared" si="14"/>
        <v>342</v>
      </c>
      <c r="EN4" s="74">
        <v>352</v>
      </c>
      <c r="EO4" s="74">
        <f t="shared" si="15"/>
        <v>-10</v>
      </c>
      <c r="EP4" s="72">
        <v>339</v>
      </c>
      <c r="EQ4" s="74">
        <f t="shared" ref="EQ4:EQ67" si="23">EP4-EN4</f>
        <v>-13</v>
      </c>
      <c r="ER4" s="72">
        <v>342</v>
      </c>
      <c r="ES4" s="74">
        <f t="shared" ref="ES4:ES67" si="24">EM4-ER4</f>
        <v>0</v>
      </c>
      <c r="ET4" s="74"/>
      <c r="EU4" s="74"/>
      <c r="EV4" s="74"/>
      <c r="EW4" s="89"/>
      <c r="EX4" s="81">
        <f>SUM(G4:BI4,BP4:BV4,CA4:CB4,CD4:CI4,CO4,CU4,CX4)</f>
        <v>4741386.068997982</v>
      </c>
      <c r="EY4" s="81">
        <f>SUM(BK4:BO4,BW4:BZ4,CC4,CK4:CN4,CP4:CS4,CW4,CY4:DH4)</f>
        <v>392626.45524804341</v>
      </c>
    </row>
    <row r="5" spans="1:155" x14ac:dyDescent="0.25">
      <c r="A5" s="76">
        <v>450</v>
      </c>
      <c r="B5" s="76" t="s">
        <v>137</v>
      </c>
      <c r="C5" s="77" t="s">
        <v>138</v>
      </c>
      <c r="D5" s="41">
        <v>8</v>
      </c>
      <c r="E5" s="78">
        <v>266</v>
      </c>
      <c r="F5" s="78">
        <v>253.72705882352938</v>
      </c>
      <c r="G5" s="79">
        <v>173177.12015668923</v>
      </c>
      <c r="H5" s="79">
        <v>109114.27619794433</v>
      </c>
      <c r="I5" s="79">
        <v>126355.69814102032</v>
      </c>
      <c r="J5" s="79">
        <v>0</v>
      </c>
      <c r="K5" s="79">
        <v>178335.88891943885</v>
      </c>
      <c r="L5" s="79">
        <v>40788.660078344612</v>
      </c>
      <c r="M5" s="79">
        <v>59319.676384927567</v>
      </c>
      <c r="N5" s="79">
        <v>0</v>
      </c>
      <c r="O5" s="79">
        <v>50130.026384927565</v>
      </c>
      <c r="P5" s="79">
        <f>125147.173493481-Q5</f>
        <v>62573.58674674041</v>
      </c>
      <c r="Q5" s="79">
        <v>62573.586746740584</v>
      </c>
      <c r="R5" s="79">
        <v>69375.836746740591</v>
      </c>
      <c r="S5" s="79">
        <v>54629.386746740587</v>
      </c>
      <c r="T5" s="79">
        <v>244793.68373370293</v>
      </c>
      <c r="U5" s="79">
        <v>54557.138098972166</v>
      </c>
      <c r="V5" s="79">
        <v>0</v>
      </c>
      <c r="W5" s="79">
        <v>0</v>
      </c>
      <c r="X5" s="79">
        <v>0</v>
      </c>
      <c r="Y5" s="79">
        <v>0</v>
      </c>
      <c r="Z5" s="79"/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79">
        <v>0</v>
      </c>
      <c r="AJ5" s="79">
        <v>0</v>
      </c>
      <c r="AK5" s="79">
        <v>0</v>
      </c>
      <c r="AL5" s="79">
        <v>0</v>
      </c>
      <c r="AM5" s="79">
        <v>0</v>
      </c>
      <c r="AN5" s="79">
        <v>0</v>
      </c>
      <c r="AO5" s="79">
        <v>0</v>
      </c>
      <c r="AP5" s="79">
        <v>0</v>
      </c>
      <c r="AQ5" s="79">
        <v>0</v>
      </c>
      <c r="AR5" s="79">
        <v>0</v>
      </c>
      <c r="AS5" s="79">
        <v>0</v>
      </c>
      <c r="AT5" s="79">
        <v>0</v>
      </c>
      <c r="AU5" s="79">
        <v>0</v>
      </c>
      <c r="AV5" s="79">
        <f>E5/24*AV$121</f>
        <v>1209349.8945272164</v>
      </c>
      <c r="AW5" s="79">
        <f>2111702.71015683-AV5</f>
        <v>902352.81562961359</v>
      </c>
      <c r="AX5" s="79">
        <v>218228.55239588866</v>
      </c>
      <c r="AY5" s="79">
        <v>545571.38098972163</v>
      </c>
      <c r="AZ5" s="79">
        <v>1309371.3143753321</v>
      </c>
      <c r="BA5" s="79">
        <v>275221.01107942057</v>
      </c>
      <c r="BB5" s="79">
        <v>96126.952769855139</v>
      </c>
      <c r="BC5" s="79">
        <v>0</v>
      </c>
      <c r="BD5" s="79">
        <v>24798.699135896437</v>
      </c>
      <c r="BE5" s="79">
        <v>0</v>
      </c>
      <c r="BF5" s="79">
        <v>0</v>
      </c>
      <c r="BG5" s="79">
        <v>0</v>
      </c>
      <c r="BH5" s="79">
        <v>0</v>
      </c>
      <c r="BI5" s="79">
        <v>0</v>
      </c>
      <c r="BJ5" s="79"/>
      <c r="BK5" s="79">
        <v>60000</v>
      </c>
      <c r="BL5" s="79"/>
      <c r="BM5" s="79">
        <v>179697.09</v>
      </c>
      <c r="BN5" s="79">
        <v>2859.45</v>
      </c>
      <c r="BO5" s="79">
        <v>0</v>
      </c>
      <c r="BP5" s="79">
        <v>0</v>
      </c>
      <c r="BQ5" s="79">
        <v>0</v>
      </c>
      <c r="BR5" s="79">
        <v>0</v>
      </c>
      <c r="BS5" s="79">
        <v>0</v>
      </c>
      <c r="BT5" s="79">
        <v>0</v>
      </c>
      <c r="BU5" s="79">
        <v>0</v>
      </c>
      <c r="BV5" s="80">
        <v>140395.22015668923</v>
      </c>
      <c r="BW5" s="80">
        <v>20000</v>
      </c>
      <c r="BX5" s="80">
        <v>29000</v>
      </c>
      <c r="BY5" s="80">
        <v>0</v>
      </c>
      <c r="BZ5" s="80">
        <v>0</v>
      </c>
      <c r="CA5" s="80">
        <v>0</v>
      </c>
      <c r="CB5" s="80">
        <v>0</v>
      </c>
      <c r="CC5" s="80">
        <v>23700</v>
      </c>
      <c r="CD5" s="79">
        <v>218228.55239588866</v>
      </c>
      <c r="CE5" s="79">
        <v>0</v>
      </c>
      <c r="CF5" s="79">
        <v>0</v>
      </c>
      <c r="CG5" s="79">
        <v>0</v>
      </c>
      <c r="CH5" s="79">
        <v>0</v>
      </c>
      <c r="CI5" s="79">
        <v>0</v>
      </c>
      <c r="CJ5" s="79">
        <v>0</v>
      </c>
      <c r="CK5" s="79">
        <v>0</v>
      </c>
      <c r="CL5" s="79">
        <v>0</v>
      </c>
      <c r="CM5" s="79">
        <v>673863</v>
      </c>
      <c r="CN5" s="79">
        <v>0</v>
      </c>
      <c r="CO5" s="79">
        <v>105202</v>
      </c>
      <c r="CP5" s="79">
        <v>75000</v>
      </c>
      <c r="CQ5" s="79">
        <v>10149.082352941175</v>
      </c>
      <c r="CR5" s="79">
        <v>0</v>
      </c>
      <c r="CS5" s="79">
        <v>38095.312425328557</v>
      </c>
      <c r="CT5" s="79"/>
      <c r="CU5" s="79">
        <v>105202</v>
      </c>
      <c r="CV5" s="79"/>
      <c r="CW5" s="79">
        <v>0</v>
      </c>
      <c r="CX5" s="79">
        <v>0</v>
      </c>
      <c r="CY5" s="79">
        <v>0</v>
      </c>
      <c r="CZ5" s="79">
        <v>0</v>
      </c>
      <c r="DA5" s="79">
        <v>26600</v>
      </c>
      <c r="DB5" s="79">
        <v>97842.101894372594</v>
      </c>
      <c r="DC5" s="82">
        <v>0</v>
      </c>
      <c r="DD5" s="79">
        <v>0</v>
      </c>
      <c r="DE5" s="79"/>
      <c r="DF5" s="79">
        <v>18000</v>
      </c>
      <c r="DG5" s="79">
        <v>0</v>
      </c>
      <c r="DH5" s="83">
        <v>797936.40116474312</v>
      </c>
      <c r="DI5" s="79">
        <v>31911.712016450521</v>
      </c>
      <c r="DJ5" s="79">
        <v>8488515.3963758387</v>
      </c>
      <c r="DK5" s="84">
        <v>3.6241617053747177E-3</v>
      </c>
      <c r="DL5" s="84">
        <v>355092.47</v>
      </c>
      <c r="DM5" s="84">
        <f t="shared" si="16"/>
        <v>8843607.870000001</v>
      </c>
      <c r="DN5" s="84">
        <f>'[7]FY20 Initial Budget Alloca FTE'!F5*DN$1</f>
        <v>557149.09938823525</v>
      </c>
      <c r="DO5" s="81">
        <f t="shared" si="0"/>
        <v>60000</v>
      </c>
      <c r="DP5" s="81">
        <f t="shared" si="17"/>
        <v>1386372.7048859845</v>
      </c>
      <c r="DQ5" s="74">
        <f t="shared" si="18"/>
        <v>-889223.60549774929</v>
      </c>
      <c r="DR5" s="85">
        <f>DQ5/DN5</f>
        <v>-1.596024486935617</v>
      </c>
      <c r="DS5" s="81">
        <f t="shared" si="19"/>
        <v>3807692.4450767441</v>
      </c>
      <c r="DT5" s="81">
        <f t="shared" si="1"/>
        <v>2444519.211610218</v>
      </c>
      <c r="DU5" s="81">
        <f t="shared" si="2"/>
        <v>24798.699135896437</v>
      </c>
      <c r="DV5" s="81">
        <f t="shared" si="3"/>
        <v>182556.54</v>
      </c>
      <c r="DW5" s="81">
        <f t="shared" si="4"/>
        <v>0</v>
      </c>
      <c r="DX5" s="81">
        <f t="shared" si="5"/>
        <v>0</v>
      </c>
      <c r="DY5" s="81">
        <f t="shared" si="6"/>
        <v>797936.40116474312</v>
      </c>
      <c r="DZ5" s="81">
        <f t="shared" si="7"/>
        <v>673863</v>
      </c>
      <c r="EA5" s="74">
        <f t="shared" si="8"/>
        <v>-889223.60549774929</v>
      </c>
      <c r="EB5" s="81">
        <f t="shared" si="9"/>
        <v>60000</v>
      </c>
      <c r="EC5" s="81">
        <f t="shared" si="9"/>
        <v>1386372.7048859845</v>
      </c>
      <c r="ED5" s="86">
        <v>0</v>
      </c>
      <c r="EE5" s="81">
        <f t="shared" si="21"/>
        <v>557149.09938823525</v>
      </c>
      <c r="EF5" s="81">
        <f t="shared" si="22"/>
        <v>8488515.3963758368</v>
      </c>
      <c r="EG5" s="81">
        <f t="shared" si="10"/>
        <v>0</v>
      </c>
      <c r="EH5" s="81">
        <v>8808200.6172237806</v>
      </c>
      <c r="EI5" s="84">
        <f t="shared" si="11"/>
        <v>7814652.3963758387</v>
      </c>
      <c r="EJ5" s="74">
        <f t="shared" si="12"/>
        <v>-319685.22084794194</v>
      </c>
      <c r="EK5" s="74">
        <f t="shared" si="13"/>
        <v>-993548.22084794194</v>
      </c>
      <c r="EM5" s="88">
        <f t="shared" si="14"/>
        <v>266</v>
      </c>
      <c r="EN5" s="74">
        <v>346</v>
      </c>
      <c r="EO5" s="74">
        <f t="shared" si="15"/>
        <v>-80</v>
      </c>
      <c r="EP5" s="90">
        <v>296</v>
      </c>
      <c r="EQ5" s="74">
        <f t="shared" si="23"/>
        <v>-50</v>
      </c>
      <c r="ER5" s="72">
        <v>287</v>
      </c>
      <c r="ES5" s="74">
        <f t="shared" si="24"/>
        <v>-21</v>
      </c>
      <c r="ET5" s="74"/>
      <c r="EU5" s="74"/>
      <c r="EV5" s="74"/>
      <c r="EW5" s="89"/>
      <c r="EX5" s="81">
        <f>SUM(G5:BI5,BP5:BV5,CA5:CB5,CD5:CI5,CO5,CU5,CX5)</f>
        <v>6435772.9585384522</v>
      </c>
      <c r="EY5" s="81">
        <f>SUM(BK5:BO5,BW5:BZ5,CC5,CK5:CN5,CP5:CS5,CW5,CY5:DH5)</f>
        <v>2052742.4378373856</v>
      </c>
    </row>
    <row r="6" spans="1:155" x14ac:dyDescent="0.25">
      <c r="A6" s="76">
        <v>452</v>
      </c>
      <c r="B6" s="76" t="s">
        <v>139</v>
      </c>
      <c r="C6" s="77" t="s">
        <v>138</v>
      </c>
      <c r="D6" s="41">
        <v>8</v>
      </c>
      <c r="E6" s="78">
        <v>568</v>
      </c>
      <c r="F6" s="78">
        <v>514.57582417582421</v>
      </c>
      <c r="G6" s="79">
        <v>173177.12015668923</v>
      </c>
      <c r="H6" s="79">
        <v>109114.27619794433</v>
      </c>
      <c r="I6" s="79">
        <v>266750.91829770955</v>
      </c>
      <c r="J6" s="79">
        <v>0</v>
      </c>
      <c r="K6" s="79">
        <v>297226.48153239809</v>
      </c>
      <c r="L6" s="79">
        <v>81577.320156689224</v>
      </c>
      <c r="M6" s="79">
        <v>59319.676384927567</v>
      </c>
      <c r="N6" s="79">
        <v>62489.456938898591</v>
      </c>
      <c r="O6" s="79">
        <v>50130.026384927565</v>
      </c>
      <c r="P6" s="79">
        <f>125147.173493481-Q6</f>
        <v>62573.58674674041</v>
      </c>
      <c r="Q6" s="79">
        <v>62573.586746740584</v>
      </c>
      <c r="R6" s="79">
        <v>69375.836746740591</v>
      </c>
      <c r="S6" s="79">
        <v>54629.386746740587</v>
      </c>
      <c r="T6" s="79">
        <v>440628.63072066527</v>
      </c>
      <c r="U6" s="79">
        <v>109114.27619794433</v>
      </c>
      <c r="V6" s="79">
        <v>0</v>
      </c>
      <c r="W6" s="79">
        <v>0</v>
      </c>
      <c r="X6" s="79">
        <v>0</v>
      </c>
      <c r="Y6" s="79">
        <v>0</v>
      </c>
      <c r="Z6" s="79"/>
      <c r="AA6" s="79">
        <v>0</v>
      </c>
      <c r="AB6" s="79">
        <v>0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9">
        <v>0</v>
      </c>
      <c r="AN6" s="79">
        <v>0</v>
      </c>
      <c r="AO6" s="79">
        <v>0</v>
      </c>
      <c r="AP6" s="79">
        <v>0</v>
      </c>
      <c r="AQ6" s="79">
        <v>0</v>
      </c>
      <c r="AR6" s="79">
        <v>0</v>
      </c>
      <c r="AS6" s="79">
        <v>0</v>
      </c>
      <c r="AT6" s="79">
        <v>0</v>
      </c>
      <c r="AU6" s="79">
        <v>0</v>
      </c>
      <c r="AV6" s="79">
        <f>E6/24*AV$121</f>
        <v>2582371.2033513491</v>
      </c>
      <c r="AW6" s="79">
        <f>3728475.44552188-AV6</f>
        <v>1146104.2421705308</v>
      </c>
      <c r="AX6" s="79">
        <v>218228.55239588866</v>
      </c>
      <c r="AY6" s="79">
        <v>545571.38098972163</v>
      </c>
      <c r="AZ6" s="79">
        <v>1745828.4191671093</v>
      </c>
      <c r="BA6" s="79">
        <v>309623.63746434811</v>
      </c>
      <c r="BB6" s="79">
        <v>144190.4291547827</v>
      </c>
      <c r="BC6" s="79">
        <v>0</v>
      </c>
      <c r="BD6" s="79">
        <v>24798.699135896437</v>
      </c>
      <c r="BE6" s="79">
        <v>0</v>
      </c>
      <c r="BF6" s="79">
        <v>0</v>
      </c>
      <c r="BG6" s="79">
        <v>0</v>
      </c>
      <c r="BH6" s="79">
        <v>0</v>
      </c>
      <c r="BI6" s="79">
        <v>0</v>
      </c>
      <c r="BJ6" s="79"/>
      <c r="BK6" s="79">
        <v>70000</v>
      </c>
      <c r="BL6" s="79"/>
      <c r="BM6" s="79">
        <v>417867.05</v>
      </c>
      <c r="BN6" s="79">
        <v>6649.35</v>
      </c>
      <c r="BO6" s="79">
        <v>0</v>
      </c>
      <c r="BP6" s="79">
        <v>0</v>
      </c>
      <c r="BQ6" s="79">
        <v>0</v>
      </c>
      <c r="BR6" s="79">
        <v>0</v>
      </c>
      <c r="BS6" s="79">
        <v>0</v>
      </c>
      <c r="BT6" s="79">
        <v>0</v>
      </c>
      <c r="BU6" s="79">
        <v>0</v>
      </c>
      <c r="BV6" s="80">
        <v>140395.22015668923</v>
      </c>
      <c r="BW6" s="80">
        <v>30000</v>
      </c>
      <c r="BX6" s="80">
        <v>29000</v>
      </c>
      <c r="BY6" s="80">
        <v>0</v>
      </c>
      <c r="BZ6" s="80">
        <v>45000</v>
      </c>
      <c r="CA6" s="80">
        <v>0</v>
      </c>
      <c r="CB6" s="80">
        <v>0</v>
      </c>
      <c r="CC6" s="80">
        <v>23700</v>
      </c>
      <c r="CD6" s="79">
        <v>218228.55239588866</v>
      </c>
      <c r="CE6" s="79">
        <v>0</v>
      </c>
      <c r="CF6" s="79">
        <v>128098.27015668922</v>
      </c>
      <c r="CG6" s="79">
        <v>105202</v>
      </c>
      <c r="CH6" s="79">
        <v>109114.27619794433</v>
      </c>
      <c r="CI6" s="79">
        <v>0</v>
      </c>
      <c r="CJ6" s="79">
        <v>0</v>
      </c>
      <c r="CK6" s="79">
        <v>0</v>
      </c>
      <c r="CL6" s="79">
        <v>0</v>
      </c>
      <c r="CM6" s="79">
        <v>817540.8</v>
      </c>
      <c r="CN6" s="79">
        <v>0</v>
      </c>
      <c r="CO6" s="79">
        <v>105202</v>
      </c>
      <c r="CP6" s="79">
        <v>75000</v>
      </c>
      <c r="CQ6" s="79">
        <v>20583.032967032967</v>
      </c>
      <c r="CR6" s="79">
        <v>0</v>
      </c>
      <c r="CS6" s="79">
        <v>78393.712459016388</v>
      </c>
      <c r="CT6" s="79"/>
      <c r="CU6" s="79">
        <v>105202</v>
      </c>
      <c r="CV6" s="79"/>
      <c r="CW6" s="79">
        <v>0</v>
      </c>
      <c r="CX6" s="79">
        <v>0</v>
      </c>
      <c r="CY6" s="79">
        <v>5000</v>
      </c>
      <c r="CZ6" s="91">
        <v>115407</v>
      </c>
      <c r="DA6" s="79">
        <v>56800</v>
      </c>
      <c r="DB6" s="79">
        <v>143852.13826173163</v>
      </c>
      <c r="DC6" s="82">
        <v>0</v>
      </c>
      <c r="DD6" s="79">
        <v>0</v>
      </c>
      <c r="DE6" s="79"/>
      <c r="DF6" s="79">
        <v>53550</v>
      </c>
      <c r="DG6" s="79">
        <v>0</v>
      </c>
      <c r="DH6" s="83">
        <v>847158.65851824952</v>
      </c>
      <c r="DI6" s="79">
        <v>21775.763958980078</v>
      </c>
      <c r="DJ6" s="79">
        <v>12362341.204898631</v>
      </c>
      <c r="DK6" s="84">
        <v>6292.7251013685018</v>
      </c>
      <c r="DL6" s="84">
        <v>370291.99</v>
      </c>
      <c r="DM6" s="84">
        <f t="shared" si="16"/>
        <v>12738925.92</v>
      </c>
      <c r="DN6" s="84">
        <f>'[7]FY20 Initial Budget Alloca FTE'!F6*DN$1</f>
        <v>1129936.4692747253</v>
      </c>
      <c r="DO6" s="81">
        <f t="shared" si="0"/>
        <v>70000</v>
      </c>
      <c r="DP6" s="81">
        <f t="shared" si="17"/>
        <v>1919408.3521976827</v>
      </c>
      <c r="DQ6" s="74">
        <f t="shared" si="18"/>
        <v>-859471.88292295742</v>
      </c>
      <c r="DR6" s="85">
        <f>DQ6/DN6</f>
        <v>-0.76063735111995145</v>
      </c>
      <c r="DS6" s="81">
        <f t="shared" si="19"/>
        <v>6109947.7587979035</v>
      </c>
      <c r="DT6" s="81">
        <f t="shared" si="1"/>
        <v>2963442.4191718502</v>
      </c>
      <c r="DU6" s="81">
        <f t="shared" si="2"/>
        <v>24798.699135896437</v>
      </c>
      <c r="DV6" s="81">
        <f t="shared" si="3"/>
        <v>469516.39999999997</v>
      </c>
      <c r="DW6" s="81">
        <f t="shared" si="4"/>
        <v>0</v>
      </c>
      <c r="DX6" s="81">
        <f t="shared" si="5"/>
        <v>0</v>
      </c>
      <c r="DY6" s="81">
        <f t="shared" si="6"/>
        <v>847158.65851824952</v>
      </c>
      <c r="DZ6" s="81">
        <f t="shared" si="7"/>
        <v>817540.8</v>
      </c>
      <c r="EA6" s="74">
        <f t="shared" si="8"/>
        <v>-859471.88292295742</v>
      </c>
      <c r="EB6" s="81">
        <f t="shared" si="9"/>
        <v>70000</v>
      </c>
      <c r="EC6" s="81">
        <f t="shared" si="9"/>
        <v>1919408.3521976827</v>
      </c>
      <c r="ED6" s="86">
        <v>0</v>
      </c>
      <c r="EE6" s="81">
        <f t="shared" si="21"/>
        <v>1129936.4692747253</v>
      </c>
      <c r="EF6" s="81">
        <f t="shared" si="22"/>
        <v>12362341.204898626</v>
      </c>
      <c r="EG6" s="81">
        <f t="shared" si="10"/>
        <v>0</v>
      </c>
      <c r="EH6" s="81">
        <v>12527430.579685252</v>
      </c>
      <c r="EI6" s="84">
        <f t="shared" si="11"/>
        <v>11544800.40489863</v>
      </c>
      <c r="EJ6" s="74">
        <f t="shared" si="12"/>
        <v>-165089.37478662096</v>
      </c>
      <c r="EK6" s="74">
        <f t="shared" si="13"/>
        <v>-982630.1747866217</v>
      </c>
      <c r="EM6" s="88">
        <f t="shared" si="14"/>
        <v>568</v>
      </c>
      <c r="EN6" s="74">
        <v>836</v>
      </c>
      <c r="EO6" s="74">
        <f t="shared" si="15"/>
        <v>-268</v>
      </c>
      <c r="EP6" s="90">
        <v>650</v>
      </c>
      <c r="EQ6" s="74">
        <f t="shared" si="23"/>
        <v>-186</v>
      </c>
      <c r="ER6" s="72">
        <v>777</v>
      </c>
      <c r="ES6" s="74">
        <f t="shared" si="24"/>
        <v>-209</v>
      </c>
      <c r="ET6" s="74"/>
      <c r="EU6" s="74"/>
      <c r="EV6" s="74"/>
      <c r="EW6" s="89" t="s">
        <v>369</v>
      </c>
      <c r="EX6" s="81">
        <f>SUM(G6:BI6,BP6:BV6,CA6:CB6,CD6:CI6,CO6,CU6,CX6)</f>
        <v>9526839.462692596</v>
      </c>
      <c r="EY6" s="81">
        <f>SUM(BK6:BO6,BW6:BZ6,CC6,CK6:CN6,CP6:CS6,CW6,CY6:DH6)</f>
        <v>2835501.7422060305</v>
      </c>
    </row>
    <row r="7" spans="1:155" x14ac:dyDescent="0.25">
      <c r="A7" s="76">
        <v>462</v>
      </c>
      <c r="B7" s="76" t="s">
        <v>140</v>
      </c>
      <c r="C7" s="77" t="s">
        <v>141</v>
      </c>
      <c r="D7" s="41">
        <v>8</v>
      </c>
      <c r="E7" s="78">
        <v>478</v>
      </c>
      <c r="F7" s="78">
        <v>0</v>
      </c>
      <c r="G7" s="79">
        <v>173177.12015668923</v>
      </c>
      <c r="H7" s="79">
        <v>109114.27619794433</v>
      </c>
      <c r="I7" s="79">
        <v>223696.38411632483</v>
      </c>
      <c r="J7" s="79">
        <v>0</v>
      </c>
      <c r="K7" s="79">
        <v>200568.42973806223</v>
      </c>
      <c r="L7" s="79">
        <v>0</v>
      </c>
      <c r="M7" s="79">
        <v>59319.676384927567</v>
      </c>
      <c r="N7" s="79">
        <v>53562.391661913083</v>
      </c>
      <c r="O7" s="79">
        <v>50130.026384927565</v>
      </c>
      <c r="P7" s="79">
        <v>62573.586746740584</v>
      </c>
      <c r="Q7" s="79"/>
      <c r="R7" s="79">
        <v>69375.836746740591</v>
      </c>
      <c r="S7" s="79">
        <v>54629.386746740587</v>
      </c>
      <c r="T7" s="79">
        <v>48958.736746740586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/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9">
        <v>0</v>
      </c>
      <c r="AN7" s="79">
        <v>0</v>
      </c>
      <c r="AO7" s="79">
        <v>0</v>
      </c>
      <c r="AP7" s="79">
        <v>0</v>
      </c>
      <c r="AQ7" s="79">
        <v>0</v>
      </c>
      <c r="AR7" s="79">
        <v>0</v>
      </c>
      <c r="AS7" s="79">
        <v>0</v>
      </c>
      <c r="AT7" s="79">
        <v>0</v>
      </c>
      <c r="AU7" s="79">
        <v>0</v>
      </c>
      <c r="AV7" s="79">
        <v>1900406.9771141969</v>
      </c>
      <c r="AX7" s="79">
        <v>54557.138098972166</v>
      </c>
      <c r="AY7" s="79">
        <v>218228.55239588866</v>
      </c>
      <c r="AZ7" s="79">
        <v>763799.93338561035</v>
      </c>
      <c r="BA7" s="79">
        <v>68805.252769855142</v>
      </c>
      <c r="BB7" s="79">
        <v>48063.47638492757</v>
      </c>
      <c r="BC7" s="79">
        <v>0</v>
      </c>
      <c r="BD7" s="79">
        <v>9919.4796543585762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70000</v>
      </c>
      <c r="BK7" s="79">
        <v>0</v>
      </c>
      <c r="BL7" s="79"/>
      <c r="BM7" s="79">
        <v>0</v>
      </c>
      <c r="BN7" s="79">
        <v>0</v>
      </c>
      <c r="BO7" s="79">
        <v>12375</v>
      </c>
      <c r="BP7" s="79">
        <v>0</v>
      </c>
      <c r="BQ7" s="79">
        <v>0</v>
      </c>
      <c r="BR7" s="79">
        <v>0</v>
      </c>
      <c r="BS7" s="79">
        <v>0</v>
      </c>
      <c r="BT7" s="79">
        <v>0</v>
      </c>
      <c r="BU7" s="79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I7" s="79">
        <v>0</v>
      </c>
      <c r="CJ7" s="79">
        <v>0</v>
      </c>
      <c r="CK7" s="79">
        <v>0</v>
      </c>
      <c r="CL7" s="79">
        <v>0</v>
      </c>
      <c r="CM7" s="79">
        <v>227444.6</v>
      </c>
      <c r="CN7" s="79">
        <v>0</v>
      </c>
      <c r="CO7" s="79">
        <v>0</v>
      </c>
      <c r="CP7" s="79">
        <v>0</v>
      </c>
      <c r="CQ7" s="79">
        <v>0</v>
      </c>
      <c r="CR7" s="79">
        <v>0</v>
      </c>
      <c r="CS7" s="79">
        <v>60174.5</v>
      </c>
      <c r="CT7" s="79">
        <v>105202</v>
      </c>
      <c r="CV7" s="79">
        <v>150000</v>
      </c>
      <c r="CX7" s="79">
        <v>0</v>
      </c>
      <c r="CY7" s="79">
        <v>0</v>
      </c>
      <c r="CZ7" s="79">
        <v>0</v>
      </c>
      <c r="DA7" s="79">
        <v>47800</v>
      </c>
      <c r="DB7" s="79">
        <v>68812.827449048113</v>
      </c>
      <c r="DC7" s="82">
        <v>0</v>
      </c>
      <c r="DD7" s="79">
        <v>0</v>
      </c>
      <c r="DE7" s="79">
        <v>5100</v>
      </c>
      <c r="DG7" s="79">
        <v>0</v>
      </c>
      <c r="DH7" s="83">
        <v>0</v>
      </c>
      <c r="DI7" s="93">
        <v>10284.091190126795</v>
      </c>
      <c r="DJ7" s="79">
        <v>4915795.5888806079</v>
      </c>
      <c r="DK7" s="84">
        <v>37811.411119392142</v>
      </c>
      <c r="DL7" s="84">
        <v>0</v>
      </c>
      <c r="DM7" s="84">
        <f t="shared" si="16"/>
        <v>4953607</v>
      </c>
      <c r="DN7" s="84">
        <f>'[7]FY20 Initial Budget Alloca FTE'!F7*DN$1</f>
        <v>0</v>
      </c>
      <c r="DO7" s="81">
        <f t="shared" si="0"/>
        <v>0</v>
      </c>
      <c r="DP7" s="81">
        <f t="shared" si="17"/>
        <v>0</v>
      </c>
      <c r="DQ7" s="74">
        <f t="shared" si="18"/>
        <v>0</v>
      </c>
      <c r="DR7" s="85"/>
      <c r="DS7" s="81">
        <f t="shared" si="19"/>
        <v>3512602.1561909961</v>
      </c>
      <c r="DT7" s="81">
        <f t="shared" si="1"/>
        <v>1153454.3530352537</v>
      </c>
      <c r="DU7" s="81">
        <f t="shared" si="2"/>
        <v>9919.4796543585762</v>
      </c>
      <c r="DV7" s="81">
        <f t="shared" si="3"/>
        <v>12375</v>
      </c>
      <c r="DW7" s="81">
        <f t="shared" si="4"/>
        <v>0</v>
      </c>
      <c r="DX7" s="81">
        <f t="shared" si="5"/>
        <v>0</v>
      </c>
      <c r="DY7" s="81">
        <f t="shared" si="6"/>
        <v>0</v>
      </c>
      <c r="DZ7" s="81">
        <f t="shared" si="7"/>
        <v>227444.6</v>
      </c>
      <c r="EA7" s="74">
        <f t="shared" si="8"/>
        <v>0</v>
      </c>
      <c r="EB7" s="81">
        <f t="shared" si="9"/>
        <v>0</v>
      </c>
      <c r="EC7" s="81">
        <f t="shared" si="9"/>
        <v>0</v>
      </c>
      <c r="ED7" s="86" t="s">
        <v>142</v>
      </c>
      <c r="EE7" s="81">
        <f t="shared" si="21"/>
        <v>0</v>
      </c>
      <c r="EF7" s="81">
        <f t="shared" si="22"/>
        <v>4915795.5888806079</v>
      </c>
      <c r="EG7" s="81">
        <f t="shared" si="10"/>
        <v>0</v>
      </c>
      <c r="EH7" s="81">
        <v>4290317.7923392691</v>
      </c>
      <c r="EI7" s="84">
        <f t="shared" si="11"/>
        <v>4688350.9888806082</v>
      </c>
      <c r="EJ7" s="74">
        <f t="shared" si="12"/>
        <v>625477.79654133879</v>
      </c>
      <c r="EK7" s="74">
        <f t="shared" si="13"/>
        <v>398033.19654133916</v>
      </c>
      <c r="EM7" s="88">
        <f t="shared" si="14"/>
        <v>478</v>
      </c>
      <c r="EN7" s="74">
        <v>480</v>
      </c>
      <c r="EO7" s="74">
        <f t="shared" si="15"/>
        <v>-2</v>
      </c>
      <c r="EP7" s="94">
        <v>524</v>
      </c>
      <c r="EQ7" s="74">
        <f t="shared" si="23"/>
        <v>44</v>
      </c>
      <c r="ER7" s="72">
        <v>506</v>
      </c>
      <c r="ES7" s="74">
        <f t="shared" si="24"/>
        <v>-28</v>
      </c>
      <c r="ET7" s="74"/>
      <c r="EU7" s="74"/>
      <c r="EV7" s="74"/>
      <c r="EW7" s="89"/>
      <c r="EX7" s="81">
        <f>SUM(G7:BI7,BP7:BV7,CA7:CB7,CD7:CI7,CO7,CT7,CX7)</f>
        <v>4274088.6614315603</v>
      </c>
      <c r="EY7" s="81">
        <f>SUM(BK7:BO7,BW7:BZ7,CC7,CK7:CN7,CP7:CS7,CV7,CY7:DH7)</f>
        <v>571706.92744904803</v>
      </c>
    </row>
    <row r="8" spans="1:155" x14ac:dyDescent="0.25">
      <c r="A8" s="76">
        <v>204</v>
      </c>
      <c r="B8" s="76" t="s">
        <v>143</v>
      </c>
      <c r="C8" s="77" t="s">
        <v>135</v>
      </c>
      <c r="D8" s="41">
        <v>1</v>
      </c>
      <c r="E8" s="78">
        <v>600</v>
      </c>
      <c r="F8" s="78">
        <v>230.26641651031895</v>
      </c>
      <c r="G8" s="79">
        <v>173177.12015668923</v>
      </c>
      <c r="H8" s="79">
        <v>109114.27619794433</v>
      </c>
      <c r="I8" s="79">
        <v>210592.83023503385</v>
      </c>
      <c r="J8" s="79">
        <v>0</v>
      </c>
      <c r="K8" s="79">
        <v>0</v>
      </c>
      <c r="L8" s="79">
        <v>81577.320156689224</v>
      </c>
      <c r="M8" s="79">
        <v>59319.676384927567</v>
      </c>
      <c r="N8" s="79">
        <v>66952.989577391359</v>
      </c>
      <c r="O8" s="79">
        <v>0</v>
      </c>
      <c r="P8" s="79">
        <v>0</v>
      </c>
      <c r="Q8" s="79"/>
      <c r="R8" s="79">
        <v>69375.836746740591</v>
      </c>
      <c r="S8" s="79">
        <v>54629.386746740587</v>
      </c>
      <c r="T8" s="79">
        <v>195834.94698696234</v>
      </c>
      <c r="U8" s="79">
        <v>109114.27619794433</v>
      </c>
      <c r="V8" s="79">
        <v>109114.27619794433</v>
      </c>
      <c r="W8" s="79">
        <v>109114.27619794433</v>
      </c>
      <c r="X8" s="79">
        <v>109114.27619794433</v>
      </c>
      <c r="Y8" s="79">
        <v>163671.41429691651</v>
      </c>
      <c r="Z8" s="79"/>
      <c r="AA8" s="79">
        <v>327342.82859383302</v>
      </c>
      <c r="AB8" s="79">
        <v>103207.87915478271</v>
      </c>
      <c r="AC8" s="79">
        <v>0</v>
      </c>
      <c r="AD8" s="79">
        <v>0</v>
      </c>
      <c r="AE8" s="79">
        <v>327342.82859383302</v>
      </c>
      <c r="AF8" s="79">
        <v>103207.87915478271</v>
      </c>
      <c r="AG8" s="79">
        <v>436457.10479177732</v>
      </c>
      <c r="AH8" s="79">
        <v>137610.50553971028</v>
      </c>
      <c r="AI8" s="79">
        <v>436457.10479177732</v>
      </c>
      <c r="AJ8" s="79">
        <v>436457.10479177732</v>
      </c>
      <c r="AK8" s="79">
        <v>436457.10479177732</v>
      </c>
      <c r="AL8" s="79">
        <v>327342.82859383302</v>
      </c>
      <c r="AM8" s="79">
        <v>327342.82859383302</v>
      </c>
      <c r="AN8" s="79">
        <v>0</v>
      </c>
      <c r="AO8" s="79">
        <v>0</v>
      </c>
      <c r="AP8" s="79">
        <v>0</v>
      </c>
      <c r="AQ8" s="79">
        <v>0</v>
      </c>
      <c r="AR8" s="79">
        <v>0</v>
      </c>
      <c r="AS8" s="79">
        <v>0</v>
      </c>
      <c r="AT8" s="79">
        <v>0</v>
      </c>
      <c r="AU8" s="79">
        <v>0</v>
      </c>
      <c r="AV8" s="79"/>
      <c r="AW8" s="79">
        <v>0</v>
      </c>
      <c r="AX8" s="79">
        <v>109114.27619794433</v>
      </c>
      <c r="AY8" s="79">
        <v>218228.55239588866</v>
      </c>
      <c r="AZ8" s="79">
        <v>872914.20958355465</v>
      </c>
      <c r="BA8" s="79">
        <v>34402.626384927571</v>
      </c>
      <c r="BB8" s="79">
        <v>0</v>
      </c>
      <c r="BC8" s="79">
        <v>0</v>
      </c>
      <c r="BD8" s="79">
        <v>1527599.8667712207</v>
      </c>
      <c r="BE8" s="79">
        <v>0</v>
      </c>
      <c r="BF8" s="79">
        <v>327342.82859383302</v>
      </c>
      <c r="BG8" s="79">
        <f>35916-BL8</f>
        <v>5988</v>
      </c>
      <c r="BH8" s="79">
        <v>33672</v>
      </c>
      <c r="BI8" s="79">
        <v>6734</v>
      </c>
      <c r="BJ8" s="79"/>
      <c r="BK8" s="79">
        <v>0</v>
      </c>
      <c r="BL8" s="79">
        <v>29928</v>
      </c>
      <c r="BM8" s="79">
        <v>258611.69</v>
      </c>
      <c r="BN8" s="79">
        <v>4115.18</v>
      </c>
      <c r="BO8" s="79">
        <v>0</v>
      </c>
      <c r="BP8" s="79">
        <v>0</v>
      </c>
      <c r="BQ8" s="79">
        <v>0</v>
      </c>
      <c r="BR8" s="79">
        <v>0</v>
      </c>
      <c r="BS8" s="79">
        <v>0</v>
      </c>
      <c r="BT8" s="79">
        <v>0</v>
      </c>
      <c r="BU8" s="79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I8" s="79">
        <v>0</v>
      </c>
      <c r="CJ8" s="79">
        <v>0</v>
      </c>
      <c r="CK8" s="79">
        <v>0</v>
      </c>
      <c r="CL8" s="79">
        <v>0</v>
      </c>
      <c r="CM8" s="79">
        <v>108165.6</v>
      </c>
      <c r="CN8" s="79">
        <v>0</v>
      </c>
      <c r="CO8" s="79">
        <v>0</v>
      </c>
      <c r="CP8" s="79">
        <v>0</v>
      </c>
      <c r="CQ8" s="79">
        <v>4605.3283302063792</v>
      </c>
      <c r="CR8" s="79">
        <v>0</v>
      </c>
      <c r="CS8" s="79">
        <v>35265.090909090912</v>
      </c>
      <c r="CT8" s="79"/>
      <c r="CU8" s="79">
        <v>0</v>
      </c>
      <c r="CV8" s="79"/>
      <c r="CW8" s="79">
        <v>0</v>
      </c>
      <c r="CX8" s="79">
        <v>0</v>
      </c>
      <c r="CY8" s="79">
        <v>0</v>
      </c>
      <c r="CZ8" s="79">
        <v>0</v>
      </c>
      <c r="DA8" s="79">
        <v>60000</v>
      </c>
      <c r="DB8" s="79">
        <v>130563.45327951007</v>
      </c>
      <c r="DC8" s="82">
        <v>0</v>
      </c>
      <c r="DD8" s="79">
        <v>0</v>
      </c>
      <c r="DE8" s="79"/>
      <c r="DF8" s="79">
        <v>23750</v>
      </c>
      <c r="DG8" s="79">
        <v>0</v>
      </c>
      <c r="DH8" s="83">
        <v>0</v>
      </c>
      <c r="DI8" s="79">
        <v>14684.882670192843</v>
      </c>
      <c r="DJ8" s="79">
        <v>8810929.6021157056</v>
      </c>
      <c r="DK8" s="84">
        <v>-2.1157059818506241E-3</v>
      </c>
      <c r="DL8" s="84">
        <v>0</v>
      </c>
      <c r="DM8" s="84">
        <f t="shared" si="16"/>
        <v>8810929.5999999996</v>
      </c>
      <c r="DN8" s="84">
        <f>'[7]FY20 Initial Budget Alloca FTE'!F8*DN$1</f>
        <v>505632.81335834897</v>
      </c>
      <c r="DO8" s="81">
        <f t="shared" si="0"/>
        <v>46394</v>
      </c>
      <c r="DP8" s="81">
        <f t="shared" si="17"/>
        <v>28355.328330206379</v>
      </c>
      <c r="DQ8" s="74">
        <f t="shared" si="18"/>
        <v>430883.48502814258</v>
      </c>
      <c r="DR8" s="85">
        <f t="shared" ref="DR8:DR44" si="25">DQ8/DN8</f>
        <v>0.85216677724348855</v>
      </c>
      <c r="DS8" s="81">
        <f t="shared" si="19"/>
        <v>4814873.9588299878</v>
      </c>
      <c r="DT8" s="81">
        <f t="shared" si="1"/>
        <v>1234659.6645623154</v>
      </c>
      <c r="DU8" s="81">
        <f t="shared" si="2"/>
        <v>1854942.6953650536</v>
      </c>
      <c r="DV8" s="81">
        <f t="shared" si="3"/>
        <v>292654.87</v>
      </c>
      <c r="DW8" s="81">
        <f t="shared" si="4"/>
        <v>0</v>
      </c>
      <c r="DX8" s="81">
        <f t="shared" si="5"/>
        <v>0</v>
      </c>
      <c r="DY8" s="81">
        <f t="shared" si="6"/>
        <v>0</v>
      </c>
      <c r="DZ8" s="81">
        <f t="shared" si="7"/>
        <v>108165.6</v>
      </c>
      <c r="EA8" s="74">
        <f t="shared" si="8"/>
        <v>430883.48502814258</v>
      </c>
      <c r="EB8" s="81">
        <f t="shared" si="9"/>
        <v>46394</v>
      </c>
      <c r="EC8" s="81">
        <f t="shared" si="9"/>
        <v>28355.328330206379</v>
      </c>
      <c r="ED8" s="86">
        <f t="shared" si="20"/>
        <v>0.85216677724348855</v>
      </c>
      <c r="EE8" s="81">
        <f t="shared" si="21"/>
        <v>505632.81335834897</v>
      </c>
      <c r="EF8" s="81">
        <f t="shared" si="22"/>
        <v>8810929.6021157056</v>
      </c>
      <c r="EG8" s="81">
        <f t="shared" si="10"/>
        <v>0</v>
      </c>
      <c r="EH8" s="81">
        <v>8158448.2799290959</v>
      </c>
      <c r="EI8" s="84">
        <f t="shared" si="11"/>
        <v>8702764.002115706</v>
      </c>
      <c r="EJ8" s="74">
        <f t="shared" si="12"/>
        <v>652481.32218660973</v>
      </c>
      <c r="EK8" s="74">
        <f t="shared" si="13"/>
        <v>544315.7221866101</v>
      </c>
      <c r="EM8" s="88">
        <f t="shared" si="14"/>
        <v>600</v>
      </c>
      <c r="EN8" s="74">
        <v>561</v>
      </c>
      <c r="EO8" s="74">
        <f t="shared" si="15"/>
        <v>39</v>
      </c>
      <c r="EP8" s="72">
        <v>567</v>
      </c>
      <c r="EQ8" s="74">
        <f t="shared" si="23"/>
        <v>6</v>
      </c>
      <c r="ER8" s="72">
        <v>560</v>
      </c>
      <c r="ES8" s="74">
        <f t="shared" si="24"/>
        <v>40</v>
      </c>
      <c r="ET8" s="74"/>
      <c r="EU8" s="74"/>
      <c r="EV8" s="74"/>
      <c r="EW8" s="89"/>
      <c r="EX8" s="81">
        <f t="shared" ref="EX8:EX61" si="26">SUM(G8:BI8,BP8:BV8,CA8:CB8,CD8:CI8,CO8,CU8,CX8)</f>
        <v>8155925.2595968992</v>
      </c>
      <c r="EY8" s="81">
        <f t="shared" ref="EY8:EY61" si="27">SUM(BK8:BO8,BW8:BZ8,CC8,CK8:CN8,CP8:CS8,CW8,CY8:DH8)</f>
        <v>655004.34251880727</v>
      </c>
    </row>
    <row r="9" spans="1:155" x14ac:dyDescent="0.25">
      <c r="A9" s="76">
        <v>1058</v>
      </c>
      <c r="B9" s="76" t="s">
        <v>144</v>
      </c>
      <c r="C9" s="77" t="s">
        <v>138</v>
      </c>
      <c r="D9" s="41">
        <v>7</v>
      </c>
      <c r="E9" s="78">
        <v>150</v>
      </c>
      <c r="F9" s="78">
        <v>79</v>
      </c>
      <c r="G9" s="79">
        <v>173177</v>
      </c>
      <c r="H9" s="79"/>
      <c r="I9" s="79">
        <v>280790</v>
      </c>
      <c r="J9" s="79"/>
      <c r="K9" s="95">
        <v>118891</v>
      </c>
      <c r="L9" s="79"/>
      <c r="M9" s="79">
        <v>59320</v>
      </c>
      <c r="N9" s="79"/>
      <c r="O9" s="79"/>
      <c r="P9" s="79"/>
      <c r="Q9" s="79"/>
      <c r="R9" s="79">
        <v>69376</v>
      </c>
      <c r="S9" s="79">
        <v>54629</v>
      </c>
      <c r="T9" s="79">
        <v>48959</v>
      </c>
      <c r="U9" s="79">
        <v>54557</v>
      </c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>
        <f>E9/24*AV$121</f>
        <v>681964.22623715212</v>
      </c>
      <c r="AW9" s="79">
        <f>1200254-AV9</f>
        <v>518289.77376284788</v>
      </c>
      <c r="AX9" s="79">
        <v>109114</v>
      </c>
      <c r="AY9" s="79">
        <v>109114</v>
      </c>
      <c r="AZ9" s="79">
        <v>109114</v>
      </c>
      <c r="BA9" s="79"/>
      <c r="BB9" s="79"/>
      <c r="BC9" s="79"/>
      <c r="BD9" s="96"/>
      <c r="BE9" s="96"/>
      <c r="BF9" s="96"/>
      <c r="BG9" s="79"/>
      <c r="BH9" s="79"/>
      <c r="BI9" s="79"/>
      <c r="BJ9" s="79"/>
      <c r="BK9" s="79"/>
      <c r="BM9" s="79">
        <v>59423.64</v>
      </c>
      <c r="BN9" s="79">
        <v>945.58</v>
      </c>
      <c r="BO9" s="79">
        <v>0</v>
      </c>
      <c r="BP9" s="96"/>
      <c r="BQ9" s="96"/>
      <c r="BR9" s="96"/>
      <c r="BS9" s="96"/>
      <c r="BT9" s="79"/>
      <c r="BU9" s="79"/>
      <c r="BV9" s="80"/>
      <c r="BW9" s="80">
        <v>0</v>
      </c>
      <c r="BX9" s="80">
        <v>0</v>
      </c>
      <c r="BY9" s="80">
        <v>0</v>
      </c>
      <c r="BZ9" s="80">
        <v>0</v>
      </c>
      <c r="CA9" s="80"/>
      <c r="CB9" s="97"/>
      <c r="CC9" s="80">
        <v>0</v>
      </c>
      <c r="CD9" s="98"/>
      <c r="CE9" s="79"/>
      <c r="CF9" s="79"/>
      <c r="CG9" s="79"/>
      <c r="CH9" s="79"/>
      <c r="CI9" s="79"/>
      <c r="CJ9" s="79">
        <v>0</v>
      </c>
      <c r="CK9" s="79"/>
      <c r="CL9" s="79"/>
      <c r="CM9" s="79">
        <v>227444.6</v>
      </c>
      <c r="CN9" s="79"/>
      <c r="CO9" s="79"/>
      <c r="CP9" s="79">
        <v>0</v>
      </c>
      <c r="CQ9" s="79"/>
      <c r="CR9" s="79"/>
      <c r="CS9" s="79"/>
      <c r="CT9" s="79"/>
      <c r="CU9" s="79"/>
      <c r="CV9" s="79"/>
      <c r="CW9" s="79"/>
      <c r="CX9" s="79"/>
      <c r="CY9" s="96"/>
      <c r="CZ9" s="79"/>
      <c r="DA9" s="79">
        <v>133703</v>
      </c>
      <c r="DB9" s="79"/>
      <c r="DC9" s="82">
        <v>0</v>
      </c>
      <c r="DD9" s="79">
        <v>483130</v>
      </c>
      <c r="DE9" s="79"/>
      <c r="DF9" s="79">
        <v>0</v>
      </c>
      <c r="DG9" s="79">
        <v>0</v>
      </c>
      <c r="DH9" s="83">
        <v>0</v>
      </c>
      <c r="DI9" s="79">
        <v>21843</v>
      </c>
      <c r="DJ9" s="79">
        <v>3291941.8200000003</v>
      </c>
      <c r="DK9" s="84">
        <v>-603525.8200000003</v>
      </c>
      <c r="DL9" s="84">
        <v>0</v>
      </c>
      <c r="DM9" s="84">
        <f t="shared" si="16"/>
        <v>2688416</v>
      </c>
      <c r="DN9" s="84">
        <f>'[7]FY20 Initial Budget Alloca FTE'!F9*DN$1</f>
        <v>173472.94</v>
      </c>
      <c r="DO9" s="81">
        <f t="shared" si="0"/>
        <v>0</v>
      </c>
      <c r="DP9" s="81">
        <f t="shared" si="17"/>
        <v>518289.77376284788</v>
      </c>
      <c r="DQ9" s="74">
        <f t="shared" si="18"/>
        <v>-344816.83376284788</v>
      </c>
      <c r="DR9" s="85">
        <f t="shared" si="25"/>
        <v>-1.9877269259565664</v>
      </c>
      <c r="DS9" s="81">
        <f t="shared" si="19"/>
        <v>2020183.06</v>
      </c>
      <c r="DT9" s="81">
        <f t="shared" si="1"/>
        <v>327342</v>
      </c>
      <c r="DU9" s="81">
        <f t="shared" si="2"/>
        <v>0</v>
      </c>
      <c r="DV9" s="81">
        <f t="shared" si="3"/>
        <v>60369.22</v>
      </c>
      <c r="DW9" s="81">
        <f t="shared" si="4"/>
        <v>483130</v>
      </c>
      <c r="DX9" s="81">
        <f t="shared" si="5"/>
        <v>0</v>
      </c>
      <c r="DY9" s="81">
        <f t="shared" si="6"/>
        <v>0</v>
      </c>
      <c r="DZ9" s="81">
        <f t="shared" si="7"/>
        <v>227444.6</v>
      </c>
      <c r="EA9" s="74">
        <f t="shared" si="8"/>
        <v>-344816.83376284788</v>
      </c>
      <c r="EB9" s="81">
        <f t="shared" si="9"/>
        <v>0</v>
      </c>
      <c r="EC9" s="81">
        <f t="shared" si="9"/>
        <v>518289.77376284788</v>
      </c>
      <c r="ED9" s="86">
        <v>0</v>
      </c>
      <c r="EE9" s="81">
        <f t="shared" si="21"/>
        <v>173472.94</v>
      </c>
      <c r="EF9" s="81">
        <f t="shared" si="22"/>
        <v>3291941.8200000003</v>
      </c>
      <c r="EG9" s="81">
        <f t="shared" si="10"/>
        <v>0</v>
      </c>
      <c r="EH9" s="81">
        <v>0</v>
      </c>
      <c r="EI9" s="84">
        <v>0</v>
      </c>
      <c r="EJ9" s="74">
        <f t="shared" si="12"/>
        <v>3291941.8200000003</v>
      </c>
      <c r="EK9" s="74">
        <f t="shared" si="13"/>
        <v>0</v>
      </c>
      <c r="EM9" s="88">
        <f t="shared" si="14"/>
        <v>150</v>
      </c>
      <c r="EN9" s="74">
        <v>0</v>
      </c>
      <c r="EO9" s="74">
        <f t="shared" si="15"/>
        <v>150</v>
      </c>
      <c r="EP9" s="72">
        <v>0</v>
      </c>
      <c r="EQ9" s="74">
        <f t="shared" si="23"/>
        <v>0</v>
      </c>
      <c r="ER9" s="72" t="e">
        <v>#N/A</v>
      </c>
      <c r="ES9" s="74" t="e">
        <f t="shared" si="24"/>
        <v>#N/A</v>
      </c>
      <c r="ET9" s="74"/>
      <c r="EU9" s="74"/>
      <c r="EV9" s="74"/>
      <c r="EW9" s="89"/>
      <c r="EX9" s="81">
        <f t="shared" si="26"/>
        <v>2387295</v>
      </c>
      <c r="EY9" s="81">
        <f t="shared" si="27"/>
        <v>904646.82000000007</v>
      </c>
    </row>
    <row r="10" spans="1:155" x14ac:dyDescent="0.25">
      <c r="A10" s="76">
        <v>205</v>
      </c>
      <c r="B10" s="76" t="s">
        <v>145</v>
      </c>
      <c r="C10" s="77" t="s">
        <v>135</v>
      </c>
      <c r="D10" s="41">
        <v>4</v>
      </c>
      <c r="E10" s="78">
        <v>600</v>
      </c>
      <c r="F10" s="78">
        <v>310.46153846153845</v>
      </c>
      <c r="G10" s="79">
        <v>173177</v>
      </c>
      <c r="H10" s="79">
        <v>109114.27619794433</v>
      </c>
      <c r="I10" s="79">
        <v>210592.83023503385</v>
      </c>
      <c r="J10" s="79">
        <v>0</v>
      </c>
      <c r="K10" s="79">
        <v>0</v>
      </c>
      <c r="L10" s="79">
        <v>81577.320156689224</v>
      </c>
      <c r="M10" s="79">
        <v>59319.676384927567</v>
      </c>
      <c r="N10" s="79">
        <v>66952.989577391359</v>
      </c>
      <c r="O10" s="79">
        <v>0</v>
      </c>
      <c r="P10" s="79">
        <v>0</v>
      </c>
      <c r="Q10" s="79"/>
      <c r="R10" s="79">
        <v>69375.836746740591</v>
      </c>
      <c r="S10" s="79">
        <v>54629.386746740587</v>
      </c>
      <c r="T10" s="79">
        <v>146876.21024022176</v>
      </c>
      <c r="U10" s="79">
        <v>109114.27619794433</v>
      </c>
      <c r="V10" s="79">
        <v>109114.27619794433</v>
      </c>
      <c r="W10" s="79">
        <v>109114.27619794433</v>
      </c>
      <c r="X10" s="79">
        <v>109114.27619794433</v>
      </c>
      <c r="Y10" s="79">
        <v>163671.41429691651</v>
      </c>
      <c r="Z10" s="79"/>
      <c r="AA10" s="79">
        <v>436457.10479177732</v>
      </c>
      <c r="AB10" s="79">
        <v>137610.50553971028</v>
      </c>
      <c r="AC10" s="79">
        <v>0</v>
      </c>
      <c r="AD10" s="79">
        <v>0</v>
      </c>
      <c r="AE10" s="79">
        <v>436457.10479177732</v>
      </c>
      <c r="AF10" s="79">
        <v>137610.50553971028</v>
      </c>
      <c r="AG10" s="79">
        <v>436457.10479177732</v>
      </c>
      <c r="AH10" s="79">
        <v>137610.50553971028</v>
      </c>
      <c r="AI10" s="79">
        <v>436457.10479177732</v>
      </c>
      <c r="AJ10" s="79">
        <v>436457.10479177732</v>
      </c>
      <c r="AK10" s="79">
        <v>327342.82859383302</v>
      </c>
      <c r="AL10" s="79">
        <v>327342.82859383302</v>
      </c>
      <c r="AM10" s="79">
        <v>436457.10479177732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/>
      <c r="AW10" s="79">
        <v>0</v>
      </c>
      <c r="AX10" s="79">
        <v>109114.27619794433</v>
      </c>
      <c r="AY10" s="79">
        <v>218228.55239588866</v>
      </c>
      <c r="AZ10" s="79">
        <v>872914.20958355465</v>
      </c>
      <c r="BA10" s="79">
        <v>275221.01107942057</v>
      </c>
      <c r="BB10" s="79">
        <v>0</v>
      </c>
      <c r="BC10" s="79">
        <v>105202</v>
      </c>
      <c r="BD10" s="79">
        <v>1418485.5905732764</v>
      </c>
      <c r="BE10" s="79">
        <v>0</v>
      </c>
      <c r="BF10" s="79">
        <v>218228.55239588866</v>
      </c>
      <c r="BG10" s="79">
        <f>125706-BL10</f>
        <v>43404</v>
      </c>
      <c r="BH10" s="79">
        <v>117852</v>
      </c>
      <c r="BI10" s="79">
        <v>6734</v>
      </c>
      <c r="BJ10" s="79"/>
      <c r="BK10" s="79">
        <v>0</v>
      </c>
      <c r="BL10" s="79">
        <v>82302</v>
      </c>
      <c r="BM10" s="79">
        <v>305199.82</v>
      </c>
      <c r="BN10" s="79">
        <v>4856.5200000000004</v>
      </c>
      <c r="BO10" s="79">
        <v>0</v>
      </c>
      <c r="BP10" s="79">
        <v>0</v>
      </c>
      <c r="BQ10" s="79">
        <v>0</v>
      </c>
      <c r="BR10" s="79">
        <v>0</v>
      </c>
      <c r="BS10" s="79">
        <v>0</v>
      </c>
      <c r="BT10" s="79">
        <v>0</v>
      </c>
      <c r="BU10" s="79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108165.6</v>
      </c>
      <c r="CN10" s="79">
        <v>0</v>
      </c>
      <c r="CO10" s="79">
        <v>0</v>
      </c>
      <c r="CP10" s="79">
        <v>0</v>
      </c>
      <c r="CQ10" s="79">
        <v>6209.2307692307695</v>
      </c>
      <c r="CR10" s="79">
        <v>172800</v>
      </c>
      <c r="CS10" s="79">
        <v>30481</v>
      </c>
      <c r="CT10" s="79"/>
      <c r="CU10" s="79">
        <v>0</v>
      </c>
      <c r="CV10" s="79"/>
      <c r="CW10" s="79">
        <v>0</v>
      </c>
      <c r="CX10" s="79">
        <v>0</v>
      </c>
      <c r="CY10" s="79">
        <v>0</v>
      </c>
      <c r="CZ10" s="79">
        <v>0</v>
      </c>
      <c r="DA10" s="79">
        <v>60000</v>
      </c>
      <c r="DB10" s="79">
        <v>139235.99038106352</v>
      </c>
      <c r="DC10" s="82">
        <v>0</v>
      </c>
      <c r="DD10" s="79">
        <v>0</v>
      </c>
      <c r="DE10" s="79"/>
      <c r="DF10" s="79">
        <v>19500</v>
      </c>
      <c r="DG10" s="79">
        <v>0</v>
      </c>
      <c r="DH10" s="83">
        <v>0</v>
      </c>
      <c r="DI10" s="79">
        <v>15953.563869107998</v>
      </c>
      <c r="DJ10" s="79">
        <v>9572138.2013081107</v>
      </c>
      <c r="DK10" s="84">
        <v>109114.79869188927</v>
      </c>
      <c r="DL10" s="84">
        <v>0</v>
      </c>
      <c r="DM10" s="84">
        <f t="shared" si="16"/>
        <v>9681253</v>
      </c>
      <c r="DN10" s="84">
        <f>'[7]FY20 Initial Budget Alloca FTE'!F10*DN$1</f>
        <v>681730.07384615391</v>
      </c>
      <c r="DO10" s="81">
        <f t="shared" si="0"/>
        <v>167990</v>
      </c>
      <c r="DP10" s="81">
        <f t="shared" si="17"/>
        <v>198509.23076923078</v>
      </c>
      <c r="DQ10" s="74">
        <f t="shared" si="18"/>
        <v>315230.84307692316</v>
      </c>
      <c r="DR10" s="85">
        <f t="shared" si="25"/>
        <v>0.46239832328133634</v>
      </c>
      <c r="DS10" s="81">
        <f t="shared" si="19"/>
        <v>5172489.9952359842</v>
      </c>
      <c r="DT10" s="81">
        <f t="shared" si="1"/>
        <v>1580680.0492568084</v>
      </c>
      <c r="DU10" s="81">
        <f t="shared" si="2"/>
        <v>1636714.142969165</v>
      </c>
      <c r="DV10" s="81">
        <f t="shared" si="3"/>
        <v>392358.34</v>
      </c>
      <c r="DW10" s="81">
        <f t="shared" si="4"/>
        <v>0</v>
      </c>
      <c r="DX10" s="81">
        <f t="shared" si="5"/>
        <v>0</v>
      </c>
      <c r="DY10" s="81">
        <f t="shared" si="6"/>
        <v>0</v>
      </c>
      <c r="DZ10" s="81">
        <f t="shared" si="7"/>
        <v>108165.6</v>
      </c>
      <c r="EA10" s="74">
        <f t="shared" si="8"/>
        <v>315230.84307692316</v>
      </c>
      <c r="EB10" s="81">
        <f t="shared" si="9"/>
        <v>167990</v>
      </c>
      <c r="EC10" s="81">
        <f t="shared" si="9"/>
        <v>198509.23076923078</v>
      </c>
      <c r="ED10" s="86">
        <f t="shared" si="20"/>
        <v>0.46239832328133634</v>
      </c>
      <c r="EE10" s="81">
        <f t="shared" si="21"/>
        <v>681730.07384615391</v>
      </c>
      <c r="EF10" s="81">
        <f t="shared" si="22"/>
        <v>9572138.2013081107</v>
      </c>
      <c r="EG10" s="81">
        <f t="shared" si="10"/>
        <v>0</v>
      </c>
      <c r="EH10" s="81">
        <v>9314920.2776557375</v>
      </c>
      <c r="EI10" s="84">
        <f t="shared" ref="EI10:EI34" si="28">DJ10-CM10</f>
        <v>9463972.6013081111</v>
      </c>
      <c r="EJ10" s="74">
        <f t="shared" si="12"/>
        <v>257217.92365237325</v>
      </c>
      <c r="EK10" s="74">
        <f t="shared" si="13"/>
        <v>149052.32365237363</v>
      </c>
      <c r="EM10" s="88">
        <f t="shared" si="14"/>
        <v>600</v>
      </c>
      <c r="EN10" s="74">
        <v>640</v>
      </c>
      <c r="EO10" s="74">
        <f t="shared" si="15"/>
        <v>-40</v>
      </c>
      <c r="EP10" s="72">
        <v>620</v>
      </c>
      <c r="EQ10" s="74">
        <f t="shared" si="23"/>
        <v>-20</v>
      </c>
      <c r="ER10" s="72">
        <v>659</v>
      </c>
      <c r="ES10" s="74">
        <f t="shared" si="24"/>
        <v>-59</v>
      </c>
      <c r="ET10" s="74"/>
      <c r="EU10" s="74"/>
      <c r="EV10" s="74"/>
      <c r="EW10" s="89"/>
      <c r="EX10" s="81">
        <f t="shared" si="26"/>
        <v>8643388.0401578173</v>
      </c>
      <c r="EY10" s="81">
        <f t="shared" si="27"/>
        <v>928750.16115029436</v>
      </c>
    </row>
    <row r="11" spans="1:155" x14ac:dyDescent="0.25">
      <c r="A11" s="76">
        <v>206</v>
      </c>
      <c r="B11" s="76" t="s">
        <v>146</v>
      </c>
      <c r="C11" s="77" t="s">
        <v>135</v>
      </c>
      <c r="D11" s="41">
        <v>7</v>
      </c>
      <c r="E11" s="78">
        <v>483</v>
      </c>
      <c r="F11" s="78">
        <v>285.22727272727275</v>
      </c>
      <c r="G11" s="79">
        <v>173177.12015668923</v>
      </c>
      <c r="H11" s="79">
        <v>109114.27619794433</v>
      </c>
      <c r="I11" s="79">
        <v>168474.26418802707</v>
      </c>
      <c r="J11" s="79">
        <v>0</v>
      </c>
      <c r="K11" s="79">
        <v>0</v>
      </c>
      <c r="L11" s="79">
        <v>81577.320156689224</v>
      </c>
      <c r="M11" s="79">
        <v>59319.676384927567</v>
      </c>
      <c r="N11" s="79">
        <v>53562.391661913083</v>
      </c>
      <c r="O11" s="79">
        <v>0</v>
      </c>
      <c r="P11" s="79">
        <v>0</v>
      </c>
      <c r="Q11" s="79"/>
      <c r="R11" s="79">
        <v>69375.836746740591</v>
      </c>
      <c r="S11" s="79">
        <v>54629.386746740587</v>
      </c>
      <c r="T11" s="79">
        <v>97917.473493481171</v>
      </c>
      <c r="U11" s="79">
        <v>109114.27619794433</v>
      </c>
      <c r="V11" s="79">
        <v>109114.27619794433</v>
      </c>
      <c r="W11" s="79">
        <v>109114.27619794433</v>
      </c>
      <c r="X11" s="79">
        <v>109114.27619794433</v>
      </c>
      <c r="Y11" s="79">
        <v>163671.41429691651</v>
      </c>
      <c r="Z11" s="79"/>
      <c r="AA11" s="79">
        <v>218228.55239588866</v>
      </c>
      <c r="AB11" s="79">
        <v>68805.252769855142</v>
      </c>
      <c r="AC11" s="79">
        <v>109114.27619794433</v>
      </c>
      <c r="AD11" s="79">
        <v>34402.626384927571</v>
      </c>
      <c r="AE11" s="79">
        <v>218228.55239588866</v>
      </c>
      <c r="AF11" s="79">
        <v>68805.252769855142</v>
      </c>
      <c r="AG11" s="79">
        <v>327342.82859383302</v>
      </c>
      <c r="AH11" s="79">
        <v>103207.87915478271</v>
      </c>
      <c r="AI11" s="79">
        <v>327342.82859383302</v>
      </c>
      <c r="AJ11" s="79">
        <v>327342.82859383302</v>
      </c>
      <c r="AK11" s="79">
        <v>327342.82859383302</v>
      </c>
      <c r="AL11" s="79">
        <v>436457.10479177732</v>
      </c>
      <c r="AM11" s="79">
        <v>218228.55239588866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/>
      <c r="AW11" s="79">
        <v>0</v>
      </c>
      <c r="AX11" s="79">
        <v>109114.27619794433</v>
      </c>
      <c r="AY11" s="79">
        <v>218228.55239588866</v>
      </c>
      <c r="AZ11" s="79">
        <v>1091142.7619794433</v>
      </c>
      <c r="BA11" s="79">
        <v>344026.26384927571</v>
      </c>
      <c r="BB11" s="79">
        <v>0</v>
      </c>
      <c r="BC11" s="79">
        <v>105202</v>
      </c>
      <c r="BD11" s="79">
        <v>0</v>
      </c>
      <c r="BE11" s="79">
        <v>0</v>
      </c>
      <c r="BF11" s="79">
        <v>0</v>
      </c>
      <c r="BG11" s="79">
        <f>53874-BL11</f>
        <v>12348.900000000001</v>
      </c>
      <c r="BH11" s="79">
        <v>50508</v>
      </c>
      <c r="BI11" s="79">
        <v>6734</v>
      </c>
      <c r="BJ11" s="79"/>
      <c r="BK11" s="79">
        <v>0</v>
      </c>
      <c r="BL11" s="79">
        <v>41525.1</v>
      </c>
      <c r="BM11" s="79">
        <v>230088.34</v>
      </c>
      <c r="BN11" s="79">
        <v>3661.3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54082.8</v>
      </c>
      <c r="CN11" s="79">
        <v>0</v>
      </c>
      <c r="CO11" s="79">
        <v>0</v>
      </c>
      <c r="CP11" s="79">
        <v>0</v>
      </c>
      <c r="CQ11" s="79">
        <v>5704.545454545455</v>
      </c>
      <c r="CR11" s="79">
        <v>0</v>
      </c>
      <c r="CS11" s="79">
        <v>26853.116279069767</v>
      </c>
      <c r="CT11" s="79"/>
      <c r="CU11" s="79">
        <v>0</v>
      </c>
      <c r="CV11" s="79"/>
      <c r="CW11" s="79">
        <v>0</v>
      </c>
      <c r="CX11" s="79">
        <v>0</v>
      </c>
      <c r="CY11" s="79">
        <v>0</v>
      </c>
      <c r="CZ11" s="79">
        <v>0</v>
      </c>
      <c r="DA11" s="79">
        <v>48300</v>
      </c>
      <c r="DB11" s="79">
        <v>98529.415674312273</v>
      </c>
      <c r="DC11" s="82">
        <v>0</v>
      </c>
      <c r="DD11" s="79">
        <v>0</v>
      </c>
      <c r="DE11" s="79"/>
      <c r="DF11" s="79">
        <v>18500</v>
      </c>
      <c r="DG11" s="79">
        <v>0</v>
      </c>
      <c r="DH11" s="83">
        <v>0</v>
      </c>
      <c r="DI11" s="79">
        <v>13906.159420878812</v>
      </c>
      <c r="DJ11" s="79">
        <v>6716675.000284466</v>
      </c>
      <c r="DK11" s="84">
        <v>-2.844659611582756E-4</v>
      </c>
      <c r="DL11" s="84">
        <v>0</v>
      </c>
      <c r="DM11" s="84">
        <f t="shared" si="16"/>
        <v>6716675</v>
      </c>
      <c r="DN11" s="84">
        <f>'[7]FY20 Initial Budget Alloca FTE'!F11*DN$1</f>
        <v>626319.15909090918</v>
      </c>
      <c r="DO11" s="81">
        <f t="shared" si="0"/>
        <v>69590.899999999994</v>
      </c>
      <c r="DP11" s="81">
        <f t="shared" si="17"/>
        <v>24204.545454545456</v>
      </c>
      <c r="DQ11" s="74">
        <f t="shared" si="18"/>
        <v>532523.71363636374</v>
      </c>
      <c r="DR11" s="85">
        <f t="shared" si="25"/>
        <v>0.85024337178079012</v>
      </c>
      <c r="DS11" s="81">
        <f t="shared" si="19"/>
        <v>3893284.4467710042</v>
      </c>
      <c r="DT11" s="81">
        <f t="shared" si="1"/>
        <v>1867713.854422552</v>
      </c>
      <c r="DU11" s="81">
        <f t="shared" si="2"/>
        <v>0</v>
      </c>
      <c r="DV11" s="81">
        <f t="shared" si="3"/>
        <v>275274.74</v>
      </c>
      <c r="DW11" s="81">
        <f t="shared" si="4"/>
        <v>0</v>
      </c>
      <c r="DX11" s="81">
        <f t="shared" si="5"/>
        <v>0</v>
      </c>
      <c r="DY11" s="81">
        <f t="shared" si="6"/>
        <v>0</v>
      </c>
      <c r="DZ11" s="81">
        <f t="shared" si="7"/>
        <v>54082.8</v>
      </c>
      <c r="EA11" s="74">
        <f t="shared" si="8"/>
        <v>532523.71363636374</v>
      </c>
      <c r="EB11" s="81">
        <f t="shared" si="9"/>
        <v>69590.899999999994</v>
      </c>
      <c r="EC11" s="81">
        <f t="shared" si="9"/>
        <v>24204.545454545456</v>
      </c>
      <c r="ED11" s="86">
        <f t="shared" si="20"/>
        <v>0.85024337178079012</v>
      </c>
      <c r="EE11" s="81">
        <f t="shared" si="21"/>
        <v>626319.15909090918</v>
      </c>
      <c r="EF11" s="81">
        <f t="shared" si="22"/>
        <v>6716675.000284466</v>
      </c>
      <c r="EG11" s="81">
        <f t="shared" si="10"/>
        <v>0</v>
      </c>
      <c r="EH11" s="81">
        <v>6443963.6603793837</v>
      </c>
      <c r="EI11" s="84">
        <f t="shared" si="28"/>
        <v>6662592.2002844661</v>
      </c>
      <c r="EJ11" s="74">
        <f t="shared" si="12"/>
        <v>272711.33990508225</v>
      </c>
      <c r="EK11" s="74">
        <f t="shared" si="13"/>
        <v>218628.53990508243</v>
      </c>
      <c r="EM11" s="88">
        <f t="shared" si="14"/>
        <v>483</v>
      </c>
      <c r="EN11" s="74">
        <v>496</v>
      </c>
      <c r="EO11" s="74">
        <f t="shared" si="15"/>
        <v>-13</v>
      </c>
      <c r="EP11" s="72">
        <v>489</v>
      </c>
      <c r="EQ11" s="74">
        <f t="shared" si="23"/>
        <v>-7</v>
      </c>
      <c r="ER11" s="72">
        <v>473</v>
      </c>
      <c r="ES11" s="74">
        <f t="shared" si="24"/>
        <v>10</v>
      </c>
      <c r="ET11" s="74"/>
      <c r="EU11" s="74"/>
      <c r="EV11" s="74"/>
      <c r="EW11" s="89"/>
      <c r="EX11" s="81">
        <f t="shared" si="26"/>
        <v>6189430.3828765396</v>
      </c>
      <c r="EY11" s="81">
        <f t="shared" si="27"/>
        <v>527244.61740792752</v>
      </c>
    </row>
    <row r="12" spans="1:155" x14ac:dyDescent="0.25">
      <c r="A12" s="76">
        <v>402</v>
      </c>
      <c r="B12" s="76" t="s">
        <v>147</v>
      </c>
      <c r="C12" s="77" t="s">
        <v>138</v>
      </c>
      <c r="D12" s="41">
        <v>1</v>
      </c>
      <c r="E12" s="78">
        <v>505</v>
      </c>
      <c r="F12" s="78">
        <v>135.42418032786884</v>
      </c>
      <c r="G12" s="79">
        <v>173177.12015668923</v>
      </c>
      <c r="H12" s="79">
        <v>109114.27619794433</v>
      </c>
      <c r="I12" s="79">
        <v>238671.87426637168</v>
      </c>
      <c r="J12" s="79">
        <v>0</v>
      </c>
      <c r="K12" s="79">
        <v>297226.48153239809</v>
      </c>
      <c r="L12" s="79">
        <v>81577.320156689224</v>
      </c>
      <c r="M12" s="79">
        <v>59319.676384927567</v>
      </c>
      <c r="N12" s="79">
        <v>58025.924300405837</v>
      </c>
      <c r="O12" s="79">
        <v>50130.026384927565</v>
      </c>
      <c r="P12" s="79">
        <v>62573.586746740584</v>
      </c>
      <c r="Q12" s="79"/>
      <c r="R12" s="79">
        <v>69375.836746740591</v>
      </c>
      <c r="S12" s="79">
        <v>54629.386746740587</v>
      </c>
      <c r="T12" s="79">
        <v>244793.68373370293</v>
      </c>
      <c r="U12" s="79">
        <v>109114.27619794433</v>
      </c>
      <c r="V12" s="79">
        <v>0</v>
      </c>
      <c r="W12" s="79">
        <v>0</v>
      </c>
      <c r="X12" s="79">
        <v>0</v>
      </c>
      <c r="Y12" s="79">
        <v>0</v>
      </c>
      <c r="Z12" s="79"/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752888.50576581596</v>
      </c>
      <c r="AR12" s="79">
        <v>611039.94670848816</v>
      </c>
      <c r="AS12" s="79">
        <v>480102.81527095509</v>
      </c>
      <c r="AT12" s="79">
        <v>458279.96003136621</v>
      </c>
      <c r="AU12" s="79">
        <v>0</v>
      </c>
      <c r="AV12" s="79"/>
      <c r="AW12" s="79">
        <v>0</v>
      </c>
      <c r="AX12" s="79">
        <v>54557.138098972166</v>
      </c>
      <c r="AY12" s="79">
        <v>109114.27619794433</v>
      </c>
      <c r="AZ12" s="79">
        <v>54557.138098972166</v>
      </c>
      <c r="BA12" s="79">
        <v>0</v>
      </c>
      <c r="BB12" s="79">
        <v>0</v>
      </c>
      <c r="BC12" s="79">
        <v>0</v>
      </c>
      <c r="BD12" s="79">
        <v>9919.4796543585762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/>
      <c r="BK12" s="79">
        <v>0</v>
      </c>
      <c r="BL12" s="79"/>
      <c r="BM12" s="79">
        <v>107549.84</v>
      </c>
      <c r="BN12" s="79">
        <v>1711.4</v>
      </c>
      <c r="BO12" s="79">
        <v>0</v>
      </c>
      <c r="BP12" s="79">
        <v>105202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202810.5</v>
      </c>
      <c r="CN12" s="79">
        <v>0</v>
      </c>
      <c r="CO12" s="79">
        <v>105202</v>
      </c>
      <c r="CP12" s="79">
        <v>0</v>
      </c>
      <c r="CQ12" s="79">
        <v>2708.4836065573768</v>
      </c>
      <c r="CR12" s="79">
        <v>0</v>
      </c>
      <c r="CS12" s="79">
        <v>69910.153225806454</v>
      </c>
      <c r="CT12" s="79"/>
      <c r="CU12" s="79">
        <v>0</v>
      </c>
      <c r="CV12" s="79"/>
      <c r="CW12" s="79">
        <v>0</v>
      </c>
      <c r="CX12" s="79">
        <v>0</v>
      </c>
      <c r="CY12" s="79">
        <v>0</v>
      </c>
      <c r="CZ12" s="79">
        <v>0</v>
      </c>
      <c r="DA12" s="79">
        <v>50500</v>
      </c>
      <c r="DB12" s="79">
        <v>70012.34294300343</v>
      </c>
      <c r="DC12" s="82">
        <v>0</v>
      </c>
      <c r="DD12" s="79">
        <v>721910</v>
      </c>
      <c r="DE12" s="79"/>
      <c r="DF12" s="79">
        <v>150</v>
      </c>
      <c r="DG12" s="79">
        <v>0</v>
      </c>
      <c r="DH12" s="83">
        <v>0</v>
      </c>
      <c r="DI12" s="79">
        <v>11041.297919117747</v>
      </c>
      <c r="DJ12" s="79">
        <v>5575855.4491544645</v>
      </c>
      <c r="DK12" s="84">
        <v>8.4553565829992294E-4</v>
      </c>
      <c r="DL12" s="84">
        <v>0</v>
      </c>
      <c r="DM12" s="84">
        <f t="shared" si="16"/>
        <v>5575855.4500000002</v>
      </c>
      <c r="DN12" s="84">
        <f>'[7]FY20 Initial Budget Alloca FTE'!F12*DN$1</f>
        <v>297372.54061475408</v>
      </c>
      <c r="DO12" s="81">
        <f t="shared" si="0"/>
        <v>0</v>
      </c>
      <c r="DP12" s="81">
        <f t="shared" si="17"/>
        <v>2858.4836065573768</v>
      </c>
      <c r="DQ12" s="74">
        <f t="shared" si="18"/>
        <v>294514.05700819672</v>
      </c>
      <c r="DR12" s="85">
        <f t="shared" si="25"/>
        <v>0.99038753342642849</v>
      </c>
      <c r="DS12" s="81">
        <f t="shared" si="19"/>
        <v>4016353.1364894621</v>
      </c>
      <c r="DT12" s="81">
        <f t="shared" si="1"/>
        <v>218228.55239588866</v>
      </c>
      <c r="DU12" s="81">
        <f t="shared" si="2"/>
        <v>9919.4796543585762</v>
      </c>
      <c r="DV12" s="81">
        <f t="shared" si="3"/>
        <v>109261.23999999999</v>
      </c>
      <c r="DW12" s="81">
        <f t="shared" si="4"/>
        <v>721910</v>
      </c>
      <c r="DX12" s="81">
        <f t="shared" si="5"/>
        <v>0</v>
      </c>
      <c r="DY12" s="81">
        <f t="shared" si="6"/>
        <v>0</v>
      </c>
      <c r="DZ12" s="81">
        <f t="shared" si="7"/>
        <v>202810.5</v>
      </c>
      <c r="EA12" s="74">
        <f t="shared" si="8"/>
        <v>294514.05700819672</v>
      </c>
      <c r="EB12" s="81">
        <f t="shared" si="9"/>
        <v>0</v>
      </c>
      <c r="EC12" s="81">
        <f t="shared" si="9"/>
        <v>2858.4836065573768</v>
      </c>
      <c r="ED12" s="86">
        <f t="shared" si="20"/>
        <v>0.99038753342642849</v>
      </c>
      <c r="EE12" s="81">
        <f t="shared" si="21"/>
        <v>297372.54061475408</v>
      </c>
      <c r="EF12" s="81">
        <f t="shared" si="22"/>
        <v>5575855.4491544636</v>
      </c>
      <c r="EG12" s="81">
        <f t="shared" si="10"/>
        <v>0</v>
      </c>
      <c r="EH12" s="81">
        <v>5225359.064792701</v>
      </c>
      <c r="EI12" s="84">
        <f t="shared" si="28"/>
        <v>5373044.9491544645</v>
      </c>
      <c r="EJ12" s="74">
        <f t="shared" si="12"/>
        <v>350496.38436176348</v>
      </c>
      <c r="EK12" s="74">
        <f t="shared" si="13"/>
        <v>147685.88436176348</v>
      </c>
      <c r="EM12" s="88">
        <f t="shared" si="14"/>
        <v>505</v>
      </c>
      <c r="EN12" s="74">
        <v>506</v>
      </c>
      <c r="EO12" s="74">
        <f t="shared" si="15"/>
        <v>-1</v>
      </c>
      <c r="EP12" s="72">
        <v>482</v>
      </c>
      <c r="EQ12" s="74">
        <f t="shared" si="23"/>
        <v>-24</v>
      </c>
      <c r="ER12" s="72">
        <v>477</v>
      </c>
      <c r="ES12" s="74">
        <f t="shared" si="24"/>
        <v>28</v>
      </c>
      <c r="ET12" s="74"/>
      <c r="EU12" s="74"/>
      <c r="EV12" s="74"/>
      <c r="EW12" s="89"/>
      <c r="EX12" s="81">
        <f t="shared" si="26"/>
        <v>4348592.729379097</v>
      </c>
      <c r="EY12" s="81">
        <f t="shared" si="27"/>
        <v>1227262.7197753671</v>
      </c>
    </row>
    <row r="13" spans="1:155" x14ac:dyDescent="0.25">
      <c r="A13" s="76">
        <v>212</v>
      </c>
      <c r="B13" s="76" t="s">
        <v>148</v>
      </c>
      <c r="C13" s="77" t="s">
        <v>135</v>
      </c>
      <c r="D13" s="41">
        <v>6</v>
      </c>
      <c r="E13" s="78">
        <v>452</v>
      </c>
      <c r="F13" s="78">
        <v>43.353233830845774</v>
      </c>
      <c r="G13" s="79">
        <v>173177.12015668923</v>
      </c>
      <c r="H13" s="79">
        <v>109114.27619794433</v>
      </c>
      <c r="I13" s="79">
        <v>154434.74217235818</v>
      </c>
      <c r="J13" s="79">
        <v>0</v>
      </c>
      <c r="K13" s="79">
        <v>0</v>
      </c>
      <c r="L13" s="79">
        <v>81577.320156689224</v>
      </c>
      <c r="M13" s="79">
        <v>59319.676384927567</v>
      </c>
      <c r="N13" s="79">
        <v>49098.859023420329</v>
      </c>
      <c r="O13" s="79">
        <v>0</v>
      </c>
      <c r="P13" s="79">
        <v>0</v>
      </c>
      <c r="Q13" s="79"/>
      <c r="R13" s="79">
        <v>69375.836746740591</v>
      </c>
      <c r="S13" s="79">
        <v>54629.386746740587</v>
      </c>
      <c r="T13" s="79">
        <v>97917.473493481171</v>
      </c>
      <c r="U13" s="79">
        <v>109114.27619794433</v>
      </c>
      <c r="V13" s="79">
        <v>109114.27619794433</v>
      </c>
      <c r="W13" s="79">
        <v>109114.27619794433</v>
      </c>
      <c r="X13" s="79">
        <v>109114.27619794433</v>
      </c>
      <c r="Y13" s="79">
        <v>163671.41429691651</v>
      </c>
      <c r="Z13" s="79"/>
      <c r="AA13" s="79">
        <v>0</v>
      </c>
      <c r="AB13" s="79">
        <v>0</v>
      </c>
      <c r="AC13" s="79">
        <v>436457.10479177732</v>
      </c>
      <c r="AD13" s="79">
        <v>137610.50553971028</v>
      </c>
      <c r="AE13" s="79">
        <v>0</v>
      </c>
      <c r="AF13" s="79">
        <v>0</v>
      </c>
      <c r="AG13" s="79">
        <v>327342.82859383302</v>
      </c>
      <c r="AH13" s="79">
        <v>103207.87915478271</v>
      </c>
      <c r="AI13" s="79">
        <v>327342.82859383302</v>
      </c>
      <c r="AJ13" s="79">
        <v>436457.10479177732</v>
      </c>
      <c r="AK13" s="79">
        <v>327342.82859383302</v>
      </c>
      <c r="AL13" s="79">
        <v>327342.82859383302</v>
      </c>
      <c r="AM13" s="79">
        <v>218228.55239588866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/>
      <c r="AW13" s="79">
        <v>0</v>
      </c>
      <c r="AX13" s="79">
        <v>54557.138098972166</v>
      </c>
      <c r="AY13" s="79">
        <v>109114.27619794433</v>
      </c>
      <c r="AZ13" s="79">
        <v>327342.82859383302</v>
      </c>
      <c r="BA13" s="79">
        <v>0</v>
      </c>
      <c r="BB13" s="79">
        <v>0</v>
      </c>
      <c r="BC13" s="79">
        <v>0</v>
      </c>
      <c r="BD13" s="79">
        <v>109114.27619794433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/>
      <c r="BK13" s="79">
        <v>0</v>
      </c>
      <c r="BL13" s="79"/>
      <c r="BM13" s="79">
        <v>0</v>
      </c>
      <c r="BN13" s="79">
        <v>0</v>
      </c>
      <c r="BO13" s="79">
        <v>10600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54082.8</v>
      </c>
      <c r="CN13" s="79">
        <v>0</v>
      </c>
      <c r="CO13" s="79">
        <v>0</v>
      </c>
      <c r="CP13" s="79">
        <v>0</v>
      </c>
      <c r="CQ13" s="79">
        <v>0</v>
      </c>
      <c r="CR13" s="79">
        <v>0</v>
      </c>
      <c r="CS13" s="79">
        <v>24123.214092140923</v>
      </c>
      <c r="CT13" s="79"/>
      <c r="CU13" s="79">
        <v>0</v>
      </c>
      <c r="CV13" s="79"/>
      <c r="CW13" s="79">
        <v>0</v>
      </c>
      <c r="CX13" s="79">
        <v>0</v>
      </c>
      <c r="CY13" s="79">
        <v>0</v>
      </c>
      <c r="CZ13" s="79">
        <v>0</v>
      </c>
      <c r="DA13" s="79">
        <v>45200</v>
      </c>
      <c r="DB13" s="79">
        <v>75512.770463920926</v>
      </c>
      <c r="DC13" s="82">
        <v>0</v>
      </c>
      <c r="DD13" s="79">
        <v>0</v>
      </c>
      <c r="DE13" s="79"/>
      <c r="DF13" s="79">
        <v>4200</v>
      </c>
      <c r="DG13" s="79">
        <v>0</v>
      </c>
      <c r="DH13" s="83">
        <v>0</v>
      </c>
      <c r="DI13" s="79">
        <v>10849.453484207321</v>
      </c>
      <c r="DJ13" s="79">
        <v>4903952.9748617094</v>
      </c>
      <c r="DK13" s="84">
        <v>-4.8617096617817879E-3</v>
      </c>
      <c r="DL13" s="84">
        <v>0</v>
      </c>
      <c r="DM13" s="84">
        <f t="shared" si="16"/>
        <v>4903952.97</v>
      </c>
      <c r="DN13" s="84">
        <f>'[7]FY20 Initial Budget Alloca FTE'!F13*DN$1</f>
        <v>95197.632039800999</v>
      </c>
      <c r="DO13" s="81">
        <f t="shared" si="0"/>
        <v>0</v>
      </c>
      <c r="DP13" s="81">
        <f t="shared" si="17"/>
        <v>4200</v>
      </c>
      <c r="DQ13" s="74">
        <f t="shared" si="18"/>
        <v>90997.632039800999</v>
      </c>
      <c r="DR13" s="85">
        <f t="shared" si="25"/>
        <v>0.95588125555219661</v>
      </c>
      <c r="DS13" s="81">
        <f t="shared" si="19"/>
        <v>4143944.0237332135</v>
      </c>
      <c r="DT13" s="81">
        <f t="shared" si="1"/>
        <v>491014.24289074953</v>
      </c>
      <c r="DU13" s="81">
        <f t="shared" si="2"/>
        <v>109114.27619794433</v>
      </c>
      <c r="DV13" s="81">
        <f t="shared" si="3"/>
        <v>10600</v>
      </c>
      <c r="DW13" s="81">
        <f t="shared" si="4"/>
        <v>0</v>
      </c>
      <c r="DX13" s="81">
        <f t="shared" si="5"/>
        <v>0</v>
      </c>
      <c r="DY13" s="81">
        <f t="shared" si="6"/>
        <v>0</v>
      </c>
      <c r="DZ13" s="81">
        <f t="shared" si="7"/>
        <v>54082.8</v>
      </c>
      <c r="EA13" s="74">
        <f t="shared" si="8"/>
        <v>90997.632039800999</v>
      </c>
      <c r="EB13" s="81">
        <f t="shared" si="9"/>
        <v>0</v>
      </c>
      <c r="EC13" s="81">
        <f t="shared" si="9"/>
        <v>4200</v>
      </c>
      <c r="ED13" s="86">
        <f t="shared" si="20"/>
        <v>0.95588125555219661</v>
      </c>
      <c r="EE13" s="81">
        <f t="shared" si="21"/>
        <v>95197.632039800999</v>
      </c>
      <c r="EF13" s="81">
        <f t="shared" si="22"/>
        <v>4903952.9748617085</v>
      </c>
      <c r="EG13" s="81">
        <f t="shared" si="10"/>
        <v>0</v>
      </c>
      <c r="EH13" s="81">
        <v>4640141.4890784696</v>
      </c>
      <c r="EI13" s="84">
        <f t="shared" si="28"/>
        <v>4849870.1748617096</v>
      </c>
      <c r="EJ13" s="74">
        <f t="shared" si="12"/>
        <v>263811.48578323983</v>
      </c>
      <c r="EK13" s="74">
        <f t="shared" si="13"/>
        <v>209728.68578324001</v>
      </c>
      <c r="EM13" s="88">
        <f t="shared" si="14"/>
        <v>452</v>
      </c>
      <c r="EN13" s="74">
        <v>447</v>
      </c>
      <c r="EO13" s="74">
        <f t="shared" si="15"/>
        <v>5</v>
      </c>
      <c r="EP13" s="72">
        <v>432</v>
      </c>
      <c r="EQ13" s="74">
        <f t="shared" si="23"/>
        <v>-15</v>
      </c>
      <c r="ER13" s="72">
        <v>423</v>
      </c>
      <c r="ES13" s="74">
        <f t="shared" si="24"/>
        <v>29</v>
      </c>
      <c r="ET13" s="74"/>
      <c r="EU13" s="74"/>
      <c r="EV13" s="74"/>
      <c r="EW13" s="89"/>
      <c r="EX13" s="81">
        <f t="shared" si="26"/>
        <v>4690234.1903056474</v>
      </c>
      <c r="EY13" s="81">
        <f t="shared" si="27"/>
        <v>213718.78455606184</v>
      </c>
    </row>
    <row r="14" spans="1:155" x14ac:dyDescent="0.25">
      <c r="A14" s="76">
        <v>213</v>
      </c>
      <c r="B14" s="76" t="s">
        <v>149</v>
      </c>
      <c r="C14" s="77" t="s">
        <v>150</v>
      </c>
      <c r="D14" s="41">
        <v>4</v>
      </c>
      <c r="E14" s="78">
        <v>675</v>
      </c>
      <c r="F14" s="78">
        <v>365.48477157360406</v>
      </c>
      <c r="G14" s="79">
        <v>173177.12015668923</v>
      </c>
      <c r="H14" s="79">
        <v>109114.27619794433</v>
      </c>
      <c r="I14" s="79">
        <v>252711.39628204063</v>
      </c>
      <c r="J14" s="79">
        <v>109114.27619794433</v>
      </c>
      <c r="K14" s="79">
        <v>0</v>
      </c>
      <c r="L14" s="79">
        <v>81577.320156689224</v>
      </c>
      <c r="M14" s="79">
        <v>59319.676384927567</v>
      </c>
      <c r="N14" s="79">
        <v>75880.054854376867</v>
      </c>
      <c r="O14" s="79">
        <v>0</v>
      </c>
      <c r="P14" s="79">
        <v>0</v>
      </c>
      <c r="Q14" s="79"/>
      <c r="R14" s="79">
        <v>69375.836746740591</v>
      </c>
      <c r="S14" s="79">
        <v>54629.386746740587</v>
      </c>
      <c r="T14" s="79">
        <v>195834.94698696234</v>
      </c>
      <c r="U14" s="79">
        <v>109114.27619794433</v>
      </c>
      <c r="V14" s="79">
        <v>109114.27619794433</v>
      </c>
      <c r="W14" s="79">
        <v>109114.27619794433</v>
      </c>
      <c r="X14" s="79">
        <v>109114.27619794433</v>
      </c>
      <c r="Y14" s="79">
        <v>272785.69049486081</v>
      </c>
      <c r="Z14" s="79"/>
      <c r="AA14" s="79">
        <v>218228.55239588866</v>
      </c>
      <c r="AB14" s="79">
        <v>68805.252769855142</v>
      </c>
      <c r="AC14" s="79">
        <v>109114.27619794433</v>
      </c>
      <c r="AD14" s="79">
        <v>34402.626384927571</v>
      </c>
      <c r="AE14" s="79">
        <v>327342.82859383302</v>
      </c>
      <c r="AF14" s="79">
        <v>103207.87915478271</v>
      </c>
      <c r="AG14" s="79">
        <v>436457.10479177732</v>
      </c>
      <c r="AH14" s="79">
        <v>137610.50553971028</v>
      </c>
      <c r="AI14" s="79">
        <v>327342.82859383302</v>
      </c>
      <c r="AJ14" s="79">
        <v>436457.10479177732</v>
      </c>
      <c r="AK14" s="79">
        <v>436457.10479177732</v>
      </c>
      <c r="AL14" s="79">
        <v>327342.82859383302</v>
      </c>
      <c r="AM14" s="79">
        <v>436457.10479177732</v>
      </c>
      <c r="AN14" s="79">
        <v>0</v>
      </c>
      <c r="AO14" s="79">
        <v>381899.96669280517</v>
      </c>
      <c r="AP14" s="79">
        <v>250962.83525527193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/>
      <c r="AW14" s="79">
        <v>0</v>
      </c>
      <c r="AX14" s="79">
        <v>109114.27619794433</v>
      </c>
      <c r="AY14" s="79">
        <v>327342.82859383302</v>
      </c>
      <c r="AZ14" s="79">
        <v>872914.20958355465</v>
      </c>
      <c r="BA14" s="79">
        <v>68805.252769855142</v>
      </c>
      <c r="BB14" s="79">
        <v>0</v>
      </c>
      <c r="BC14" s="79">
        <v>0</v>
      </c>
      <c r="BD14" s="79">
        <v>2509628.3525527194</v>
      </c>
      <c r="BE14" s="79">
        <v>34402.626384927571</v>
      </c>
      <c r="BF14" s="79">
        <v>545571.38098972163</v>
      </c>
      <c r="BG14" s="79">
        <f>47888-BL14</f>
        <v>12348.5</v>
      </c>
      <c r="BH14" s="79">
        <v>44896</v>
      </c>
      <c r="BI14" s="79">
        <v>6734</v>
      </c>
      <c r="BJ14" s="79"/>
      <c r="BK14" s="79">
        <v>0</v>
      </c>
      <c r="BL14" s="79">
        <v>35539.5</v>
      </c>
      <c r="BM14" s="79">
        <v>243733.19</v>
      </c>
      <c r="BN14" s="79">
        <v>3878.43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218228.55239588866</v>
      </c>
      <c r="CJ14" s="79">
        <v>0</v>
      </c>
      <c r="CK14" s="79">
        <v>23000</v>
      </c>
      <c r="CL14" s="79">
        <v>5000</v>
      </c>
      <c r="CM14" s="79">
        <v>162248.4</v>
      </c>
      <c r="CN14" s="79">
        <v>100000</v>
      </c>
      <c r="CO14" s="79">
        <v>0</v>
      </c>
      <c r="CP14" s="79">
        <v>0</v>
      </c>
      <c r="CQ14" s="79">
        <v>7309.6954314720815</v>
      </c>
      <c r="CR14" s="79">
        <v>0</v>
      </c>
      <c r="CS14" s="79">
        <v>38864.516422287386</v>
      </c>
      <c r="CT14" s="79"/>
      <c r="CU14" s="79">
        <v>0</v>
      </c>
      <c r="CV14" s="79"/>
      <c r="CW14" s="79">
        <v>0</v>
      </c>
      <c r="CX14" s="79">
        <v>0</v>
      </c>
      <c r="CY14" s="79">
        <v>0</v>
      </c>
      <c r="CZ14" s="79">
        <v>0</v>
      </c>
      <c r="DA14" s="79">
        <v>67500</v>
      </c>
      <c r="DB14" s="79">
        <v>172399.98117337548</v>
      </c>
      <c r="DC14" s="82">
        <v>0</v>
      </c>
      <c r="DD14" s="79">
        <v>0</v>
      </c>
      <c r="DE14" s="79"/>
      <c r="DF14" s="79">
        <v>55800</v>
      </c>
      <c r="DG14" s="79">
        <v>0</v>
      </c>
      <c r="DH14" s="83">
        <v>0</v>
      </c>
      <c r="DI14" s="79">
        <v>17166.408263456389</v>
      </c>
      <c r="DJ14" s="79">
        <v>11587325.577833066</v>
      </c>
      <c r="DK14" s="84">
        <v>2.1669343113899231E-3</v>
      </c>
      <c r="DL14" s="84">
        <v>0</v>
      </c>
      <c r="DM14" s="84">
        <f t="shared" si="16"/>
        <v>11587325.58</v>
      </c>
      <c r="DN14" s="84">
        <f>'[7]FY20 Initial Budget Alloca FTE'!F14*DN$1</f>
        <v>802553.39050761424</v>
      </c>
      <c r="DO14" s="81">
        <f t="shared" si="0"/>
        <v>63978.5</v>
      </c>
      <c r="DP14" s="81">
        <f t="shared" si="17"/>
        <v>63109.695431472079</v>
      </c>
      <c r="DQ14" s="74">
        <f t="shared" si="18"/>
        <v>675465.1950761422</v>
      </c>
      <c r="DR14" s="85">
        <f t="shared" si="25"/>
        <v>0.84164518281943979</v>
      </c>
      <c r="DS14" s="81">
        <f t="shared" si="19"/>
        <v>5871593.7402528971</v>
      </c>
      <c r="DT14" s="81">
        <f t="shared" si="1"/>
        <v>1378176.5671451872</v>
      </c>
      <c r="DU14" s="81">
        <f t="shared" si="2"/>
        <v>3089602.3599273684</v>
      </c>
      <c r="DV14" s="81">
        <f t="shared" si="3"/>
        <v>283151.12</v>
      </c>
      <c r="DW14" s="81">
        <f t="shared" si="4"/>
        <v>0</v>
      </c>
      <c r="DX14" s="81">
        <f t="shared" si="5"/>
        <v>0</v>
      </c>
      <c r="DY14" s="81">
        <f t="shared" si="6"/>
        <v>0</v>
      </c>
      <c r="DZ14" s="81">
        <f t="shared" si="7"/>
        <v>162248.4</v>
      </c>
      <c r="EA14" s="74">
        <f t="shared" si="8"/>
        <v>675465.1950761422</v>
      </c>
      <c r="EB14" s="81">
        <f t="shared" si="9"/>
        <v>63978.5</v>
      </c>
      <c r="EC14" s="81">
        <f t="shared" si="9"/>
        <v>63109.695431472079</v>
      </c>
      <c r="ED14" s="86">
        <f t="shared" si="20"/>
        <v>0.84164518281943979</v>
      </c>
      <c r="EE14" s="81">
        <f t="shared" si="21"/>
        <v>802553.39050761424</v>
      </c>
      <c r="EF14" s="81">
        <f t="shared" si="22"/>
        <v>11587325.577833066</v>
      </c>
      <c r="EG14" s="81">
        <f t="shared" si="10"/>
        <v>0</v>
      </c>
      <c r="EH14" s="81">
        <v>10924444.394927207</v>
      </c>
      <c r="EI14" s="84">
        <f t="shared" si="28"/>
        <v>11425077.177833065</v>
      </c>
      <c r="EJ14" s="74">
        <f t="shared" si="12"/>
        <v>662881.18290585838</v>
      </c>
      <c r="EK14" s="74">
        <f t="shared" si="13"/>
        <v>500632.78290585801</v>
      </c>
      <c r="EM14" s="88">
        <f t="shared" si="14"/>
        <v>675</v>
      </c>
      <c r="EN14" s="74">
        <v>754</v>
      </c>
      <c r="EO14" s="74">
        <f t="shared" si="15"/>
        <v>-79</v>
      </c>
      <c r="EP14" s="72">
        <v>757</v>
      </c>
      <c r="EQ14" s="74">
        <f t="shared" si="23"/>
        <v>3</v>
      </c>
      <c r="ER14" s="72">
        <v>792</v>
      </c>
      <c r="ES14" s="74">
        <f t="shared" si="24"/>
        <v>-117</v>
      </c>
      <c r="ET14" s="74"/>
      <c r="EU14" s="74"/>
      <c r="EV14" s="74"/>
      <c r="EW14" s="89" t="s">
        <v>370</v>
      </c>
      <c r="EX14" s="81">
        <f t="shared" si="26"/>
        <v>10672051.864805931</v>
      </c>
      <c r="EY14" s="81">
        <f t="shared" si="27"/>
        <v>915273.71302713489</v>
      </c>
    </row>
    <row r="15" spans="1:155" x14ac:dyDescent="0.25">
      <c r="A15" s="76">
        <v>347</v>
      </c>
      <c r="B15" s="76" t="s">
        <v>151</v>
      </c>
      <c r="C15" s="77" t="s">
        <v>152</v>
      </c>
      <c r="D15" s="41">
        <v>5</v>
      </c>
      <c r="E15" s="78">
        <v>311</v>
      </c>
      <c r="F15" s="78">
        <v>175.9349593495935</v>
      </c>
      <c r="G15" s="79">
        <v>173177.12015668923</v>
      </c>
      <c r="H15" s="79">
        <v>109114.27619794433</v>
      </c>
      <c r="I15" s="79">
        <v>140395.22015668923</v>
      </c>
      <c r="J15" s="79">
        <v>109114.27619794433</v>
      </c>
      <c r="K15" s="79">
        <v>0</v>
      </c>
      <c r="L15" s="79">
        <v>81577.320156689224</v>
      </c>
      <c r="M15" s="79">
        <v>59319.676384927567</v>
      </c>
      <c r="N15" s="79">
        <v>0</v>
      </c>
      <c r="O15" s="79">
        <v>0</v>
      </c>
      <c r="P15" s="79">
        <v>0</v>
      </c>
      <c r="Q15" s="79"/>
      <c r="R15" s="79">
        <v>69375.836746740591</v>
      </c>
      <c r="S15" s="79">
        <v>54629.386746740587</v>
      </c>
      <c r="T15" s="79">
        <v>146876.21024022176</v>
      </c>
      <c r="U15" s="79">
        <v>109114.27619794433</v>
      </c>
      <c r="V15" s="79">
        <v>0</v>
      </c>
      <c r="W15" s="79">
        <v>0</v>
      </c>
      <c r="X15" s="79">
        <v>0</v>
      </c>
      <c r="Y15" s="79">
        <v>0</v>
      </c>
      <c r="Z15" s="79"/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447368.53241157171</v>
      </c>
      <c r="AO15" s="79">
        <v>611039.94670848816</v>
      </c>
      <c r="AP15" s="79">
        <v>480102.81527095509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/>
      <c r="AW15" s="79">
        <v>0</v>
      </c>
      <c r="AX15" s="79">
        <v>109114.27619794433</v>
      </c>
      <c r="AY15" s="79">
        <v>218228.55239588866</v>
      </c>
      <c r="AZ15" s="79">
        <v>763799.93338561035</v>
      </c>
      <c r="BA15" s="79">
        <v>137610.50553971028</v>
      </c>
      <c r="BB15" s="79">
        <v>0</v>
      </c>
      <c r="BC15" s="79">
        <v>0</v>
      </c>
      <c r="BD15" s="79">
        <v>49597.398271792874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/>
      <c r="BK15" s="79">
        <v>0</v>
      </c>
      <c r="BL15" s="79"/>
      <c r="BM15" s="79">
        <v>113142.61</v>
      </c>
      <c r="BN15" s="79">
        <v>1800.39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218228.55239588866</v>
      </c>
      <c r="CJ15" s="79">
        <v>0</v>
      </c>
      <c r="CK15" s="79">
        <v>23000</v>
      </c>
      <c r="CL15" s="79">
        <v>5000</v>
      </c>
      <c r="CM15" s="79">
        <v>295048.09999999998</v>
      </c>
      <c r="CN15" s="79">
        <v>100000</v>
      </c>
      <c r="CO15" s="79">
        <v>0</v>
      </c>
      <c r="CP15" s="79">
        <v>75000</v>
      </c>
      <c r="CQ15" s="79">
        <v>3518.6991869918702</v>
      </c>
      <c r="CR15" s="79">
        <v>0</v>
      </c>
      <c r="CS15" s="79">
        <v>24796.798090909091</v>
      </c>
      <c r="CT15" s="79"/>
      <c r="CU15" s="79">
        <v>0</v>
      </c>
      <c r="CV15" s="79"/>
      <c r="CW15" s="79">
        <v>0</v>
      </c>
      <c r="CX15" s="79">
        <v>0</v>
      </c>
      <c r="CY15" s="79">
        <v>0</v>
      </c>
      <c r="CZ15" s="79">
        <v>0</v>
      </c>
      <c r="DA15" s="79">
        <v>31100</v>
      </c>
      <c r="DB15" s="79">
        <v>67423.32419934214</v>
      </c>
      <c r="DC15" s="82">
        <v>0</v>
      </c>
      <c r="DD15" s="79">
        <v>200000</v>
      </c>
      <c r="DE15" s="79"/>
      <c r="DF15" s="79">
        <v>47600</v>
      </c>
      <c r="DG15" s="79">
        <v>0</v>
      </c>
      <c r="DH15" s="83">
        <v>0</v>
      </c>
      <c r="DI15" s="79">
        <v>16319.01618404381</v>
      </c>
      <c r="DJ15" s="79">
        <v>5075214.033237624</v>
      </c>
      <c r="DK15" s="84">
        <v>59516.966762376018</v>
      </c>
      <c r="DL15" s="84">
        <v>0</v>
      </c>
      <c r="DM15" s="84">
        <f t="shared" si="16"/>
        <v>5134731</v>
      </c>
      <c r="DN15" s="84">
        <f>'[7]FY20 Initial Budget Alloca FTE'!F15*DN$1</f>
        <v>386328.53983739839</v>
      </c>
      <c r="DO15" s="81">
        <f t="shared" si="0"/>
        <v>0</v>
      </c>
      <c r="DP15" s="81">
        <f t="shared" si="17"/>
        <v>126118.69918699187</v>
      </c>
      <c r="DQ15" s="74">
        <f t="shared" si="18"/>
        <v>260209.84065040652</v>
      </c>
      <c r="DR15" s="85">
        <f t="shared" si="25"/>
        <v>0.6735454770178928</v>
      </c>
      <c r="DS15" s="81">
        <f t="shared" si="19"/>
        <v>2800543.7276092796</v>
      </c>
      <c r="DT15" s="81">
        <f t="shared" si="1"/>
        <v>1228753.2675191537</v>
      </c>
      <c r="DU15" s="81">
        <f t="shared" si="2"/>
        <v>49597.398271792874</v>
      </c>
      <c r="DV15" s="81">
        <f t="shared" si="3"/>
        <v>114943</v>
      </c>
      <c r="DW15" s="81">
        <f t="shared" si="4"/>
        <v>200000</v>
      </c>
      <c r="DX15" s="81">
        <f>SUM(DC15)</f>
        <v>0</v>
      </c>
      <c r="DY15" s="81">
        <f t="shared" si="6"/>
        <v>0</v>
      </c>
      <c r="DZ15" s="81">
        <f t="shared" si="7"/>
        <v>295048.09999999998</v>
      </c>
      <c r="EA15" s="74">
        <f t="shared" si="8"/>
        <v>260209.84065040652</v>
      </c>
      <c r="EB15" s="81">
        <f t="shared" si="9"/>
        <v>0</v>
      </c>
      <c r="EC15" s="81">
        <f t="shared" si="9"/>
        <v>126118.69918699187</v>
      </c>
      <c r="ED15" s="86">
        <f t="shared" si="20"/>
        <v>0.6735454770178928</v>
      </c>
      <c r="EE15" s="81">
        <f t="shared" si="21"/>
        <v>386328.53983739839</v>
      </c>
      <c r="EF15" s="81">
        <f t="shared" si="22"/>
        <v>5075214.033237624</v>
      </c>
      <c r="EG15" s="81">
        <f t="shared" si="10"/>
        <v>0</v>
      </c>
      <c r="EH15" s="81">
        <v>3979965.8951278445</v>
      </c>
      <c r="EI15" s="84">
        <f t="shared" si="28"/>
        <v>4780165.9332376244</v>
      </c>
      <c r="EJ15" s="74">
        <f t="shared" si="12"/>
        <v>1095248.1381097795</v>
      </c>
      <c r="EK15" s="74">
        <f t="shared" si="13"/>
        <v>800200.03810977982</v>
      </c>
      <c r="EM15" s="88">
        <f t="shared" si="14"/>
        <v>311</v>
      </c>
      <c r="EN15" s="74">
        <v>225</v>
      </c>
      <c r="EO15" s="74">
        <f t="shared" si="15"/>
        <v>86</v>
      </c>
      <c r="EP15" s="94">
        <v>270</v>
      </c>
      <c r="EQ15" s="74">
        <f t="shared" si="23"/>
        <v>45</v>
      </c>
      <c r="ER15" s="72">
        <v>255</v>
      </c>
      <c r="ES15" s="74">
        <f t="shared" si="24"/>
        <v>56</v>
      </c>
      <c r="ET15" s="74"/>
      <c r="EU15" s="74"/>
      <c r="EV15" s="74"/>
      <c r="EW15" s="89"/>
      <c r="EX15" s="81">
        <f t="shared" si="26"/>
        <v>4087784.1117603816</v>
      </c>
      <c r="EY15" s="81">
        <f t="shared" si="27"/>
        <v>987429.92147724319</v>
      </c>
    </row>
    <row r="16" spans="1:155" x14ac:dyDescent="0.25">
      <c r="A16" s="76">
        <v>404</v>
      </c>
      <c r="B16" s="76" t="s">
        <v>153</v>
      </c>
      <c r="C16" s="77" t="s">
        <v>150</v>
      </c>
      <c r="D16" s="41">
        <v>5</v>
      </c>
      <c r="E16" s="78">
        <v>405</v>
      </c>
      <c r="F16" s="78">
        <v>312.87658227848101</v>
      </c>
      <c r="G16" s="79">
        <v>173177.12015668923</v>
      </c>
      <c r="H16" s="79">
        <v>109114.27619794433</v>
      </c>
      <c r="I16" s="79">
        <v>56158.088062675699</v>
      </c>
      <c r="J16" s="79">
        <v>109114.27619794433</v>
      </c>
      <c r="K16" s="79">
        <v>0</v>
      </c>
      <c r="L16" s="79">
        <v>81577.320156689224</v>
      </c>
      <c r="M16" s="79">
        <v>59319.676384927567</v>
      </c>
      <c r="N16" s="79">
        <v>44635.326384927568</v>
      </c>
      <c r="O16" s="79">
        <v>0</v>
      </c>
      <c r="P16" s="79">
        <v>0</v>
      </c>
      <c r="Q16" s="79"/>
      <c r="R16" s="79">
        <v>69375.836746740591</v>
      </c>
      <c r="S16" s="79">
        <v>54629.386746740587</v>
      </c>
      <c r="T16" s="79">
        <v>146876.21024022176</v>
      </c>
      <c r="U16" s="79">
        <v>109114.27619794433</v>
      </c>
      <c r="V16" s="79">
        <v>109114.27619794433</v>
      </c>
      <c r="W16" s="79">
        <v>109114.27619794433</v>
      </c>
      <c r="X16" s="79">
        <v>109114.27619794433</v>
      </c>
      <c r="Y16" s="79">
        <f>218228.552395889-Z16</f>
        <v>3.4924596548080444E-10</v>
      </c>
      <c r="Z16" s="79">
        <f>2*Z$121</f>
        <v>218228.55239588866</v>
      </c>
      <c r="AA16" s="79">
        <v>218228.55239588866</v>
      </c>
      <c r="AB16" s="79">
        <v>68805.252769855142</v>
      </c>
      <c r="AC16" s="79">
        <v>0</v>
      </c>
      <c r="AD16" s="79">
        <v>0</v>
      </c>
      <c r="AE16" s="79">
        <v>218228.55239588866</v>
      </c>
      <c r="AF16" s="79">
        <v>68805.252769855142</v>
      </c>
      <c r="AG16" s="79">
        <v>218228.55239588866</v>
      </c>
      <c r="AH16" s="79">
        <v>68805.252769855142</v>
      </c>
      <c r="AI16" s="79">
        <v>218228.55239588866</v>
      </c>
      <c r="AJ16" s="79">
        <v>218228.55239588866</v>
      </c>
      <c r="AK16" s="79">
        <v>218228.55239588866</v>
      </c>
      <c r="AL16" s="79">
        <v>218228.55239588866</v>
      </c>
      <c r="AM16" s="79">
        <v>218228.55239588866</v>
      </c>
      <c r="AN16" s="79">
        <v>163671.41429691651</v>
      </c>
      <c r="AO16" s="79">
        <v>163671.41429691651</v>
      </c>
      <c r="AP16" s="79">
        <v>207317.12477609422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/>
      <c r="AW16" s="79">
        <v>0</v>
      </c>
      <c r="AX16" s="79">
        <v>109114.27619794433</v>
      </c>
      <c r="AY16" s="79">
        <v>218228.55239588866</v>
      </c>
      <c r="AZ16" s="79">
        <v>654685.65718766605</v>
      </c>
      <c r="BA16" s="79">
        <v>137610.50553971028</v>
      </c>
      <c r="BB16" s="79">
        <v>0</v>
      </c>
      <c r="BC16" s="79">
        <v>0</v>
      </c>
      <c r="BD16" s="79">
        <v>218228.55239588866</v>
      </c>
      <c r="BE16" s="79">
        <v>0</v>
      </c>
      <c r="BF16" s="79">
        <v>0</v>
      </c>
      <c r="BG16" s="79">
        <f>11972-BL16</f>
        <v>374.89999999999964</v>
      </c>
      <c r="BH16" s="79">
        <v>11224</v>
      </c>
      <c r="BI16" s="79">
        <v>6734</v>
      </c>
      <c r="BJ16" s="79"/>
      <c r="BK16" s="79">
        <v>0</v>
      </c>
      <c r="BL16" s="79">
        <v>11597.1</v>
      </c>
      <c r="BM16" s="79">
        <v>154501.47</v>
      </c>
      <c r="BN16" s="79">
        <v>2458.52</v>
      </c>
      <c r="BO16" s="79">
        <v>0</v>
      </c>
      <c r="BP16" s="79">
        <v>0</v>
      </c>
      <c r="BQ16" s="79">
        <v>0</v>
      </c>
      <c r="BR16" s="79">
        <v>0</v>
      </c>
      <c r="BS16" s="79">
        <v>0</v>
      </c>
      <c r="BT16" s="79">
        <v>109114.27619794433</v>
      </c>
      <c r="BU16" s="79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79">
        <v>0</v>
      </c>
      <c r="CE16" s="79">
        <v>0</v>
      </c>
      <c r="CF16" s="79">
        <v>0</v>
      </c>
      <c r="CG16" s="79">
        <v>0</v>
      </c>
      <c r="CH16" s="79">
        <v>0</v>
      </c>
      <c r="CI16" s="79">
        <v>218228.55239588866</v>
      </c>
      <c r="CJ16" s="79">
        <v>0</v>
      </c>
      <c r="CK16" s="79">
        <v>23000</v>
      </c>
      <c r="CL16" s="79">
        <v>5000</v>
      </c>
      <c r="CM16" s="79">
        <v>162248.4</v>
      </c>
      <c r="CN16" s="79">
        <v>100000</v>
      </c>
      <c r="CO16" s="79">
        <v>0</v>
      </c>
      <c r="CP16" s="79">
        <v>0</v>
      </c>
      <c r="CQ16" s="79">
        <v>12515.06329113924</v>
      </c>
      <c r="CR16" s="79">
        <v>139320</v>
      </c>
      <c r="CS16" s="79">
        <v>25567.408219178084</v>
      </c>
      <c r="CT16" s="79"/>
      <c r="CU16" s="79">
        <v>0</v>
      </c>
      <c r="CV16" s="79"/>
      <c r="CW16" s="79">
        <v>0</v>
      </c>
      <c r="CX16" s="79">
        <v>0</v>
      </c>
      <c r="CY16" s="79">
        <v>0</v>
      </c>
      <c r="CZ16" s="79">
        <v>0</v>
      </c>
      <c r="DA16" s="79">
        <v>40500</v>
      </c>
      <c r="DB16" s="79">
        <v>94039.832762906371</v>
      </c>
      <c r="DC16" s="82">
        <v>0</v>
      </c>
      <c r="DD16" s="79">
        <v>0</v>
      </c>
      <c r="DE16" s="79"/>
      <c r="DF16" s="79">
        <v>27900</v>
      </c>
      <c r="DG16" s="79">
        <v>0</v>
      </c>
      <c r="DH16" s="83">
        <v>0</v>
      </c>
      <c r="DI16" s="79">
        <v>16117.921905910925</v>
      </c>
      <c r="DJ16" s="79">
        <v>6527758.3718939237</v>
      </c>
      <c r="DK16" s="84">
        <v>-1.8939236178994179E-3</v>
      </c>
      <c r="DL16" s="84">
        <v>0</v>
      </c>
      <c r="DM16" s="84">
        <f t="shared" si="16"/>
        <v>6527758.3700000001</v>
      </c>
      <c r="DN16" s="84">
        <f>'[7]FY20 Initial Budget Alloca FTE'!F16*DN$1</f>
        <v>687033.17196202534</v>
      </c>
      <c r="DO16" s="81">
        <f t="shared" si="0"/>
        <v>18332.900000000001</v>
      </c>
      <c r="DP16" s="81">
        <f t="shared" si="17"/>
        <v>507077.89188497228</v>
      </c>
      <c r="DQ16" s="74">
        <f t="shared" si="18"/>
        <v>161622.38007705307</v>
      </c>
      <c r="DR16" s="85">
        <f t="shared" si="25"/>
        <v>0.23524683621242451</v>
      </c>
      <c r="DS16" s="81">
        <f t="shared" si="19"/>
        <v>4172052.1662148004</v>
      </c>
      <c r="DT16" s="81">
        <f t="shared" si="1"/>
        <v>1119638.9913212094</v>
      </c>
      <c r="DU16" s="81">
        <f t="shared" si="2"/>
        <v>218228.55239588866</v>
      </c>
      <c r="DV16" s="81">
        <f t="shared" si="3"/>
        <v>168557.09</v>
      </c>
      <c r="DW16" s="81">
        <f t="shared" si="4"/>
        <v>0</v>
      </c>
      <c r="DX16" s="81">
        <f t="shared" si="5"/>
        <v>0</v>
      </c>
      <c r="DY16" s="81">
        <f t="shared" si="6"/>
        <v>0</v>
      </c>
      <c r="DZ16" s="81">
        <f t="shared" si="7"/>
        <v>162248.4</v>
      </c>
      <c r="EA16" s="74">
        <f t="shared" si="8"/>
        <v>161622.38007705307</v>
      </c>
      <c r="EB16" s="81">
        <f t="shared" si="9"/>
        <v>18332.900000000001</v>
      </c>
      <c r="EC16" s="81">
        <f t="shared" si="9"/>
        <v>507077.89188497228</v>
      </c>
      <c r="ED16" s="86">
        <f t="shared" si="20"/>
        <v>0.23524683621242451</v>
      </c>
      <c r="EE16" s="81">
        <f t="shared" si="21"/>
        <v>687033.17196202534</v>
      </c>
      <c r="EF16" s="81">
        <f t="shared" si="22"/>
        <v>6527758.3718939237</v>
      </c>
      <c r="EG16" s="81">
        <f t="shared" si="10"/>
        <v>0</v>
      </c>
      <c r="EH16" s="81">
        <v>5514553.3802183848</v>
      </c>
      <c r="EI16" s="84">
        <f t="shared" si="28"/>
        <v>6365509.9718939234</v>
      </c>
      <c r="EJ16" s="74">
        <f t="shared" si="12"/>
        <v>1013204.9916755389</v>
      </c>
      <c r="EK16" s="74">
        <f t="shared" si="13"/>
        <v>850956.59167553857</v>
      </c>
      <c r="EM16" s="88">
        <f t="shared" si="14"/>
        <v>405</v>
      </c>
      <c r="EN16" s="74">
        <v>342</v>
      </c>
      <c r="EO16" s="74">
        <f t="shared" si="15"/>
        <v>63</v>
      </c>
      <c r="EP16" s="72">
        <v>371</v>
      </c>
      <c r="EQ16" s="74">
        <f t="shared" si="23"/>
        <v>29</v>
      </c>
      <c r="ER16" s="72">
        <v>347</v>
      </c>
      <c r="ES16" s="74">
        <f t="shared" si="24"/>
        <v>58</v>
      </c>
      <c r="ET16" s="74"/>
      <c r="EU16" s="74"/>
      <c r="EV16" s="74"/>
      <c r="EW16" s="89"/>
      <c r="EX16" s="81">
        <f t="shared" si="26"/>
        <v>5729110.5776207009</v>
      </c>
      <c r="EY16" s="81">
        <f t="shared" si="27"/>
        <v>798647.79427322361</v>
      </c>
    </row>
    <row r="17" spans="1:155" x14ac:dyDescent="0.25">
      <c r="A17" s="76">
        <v>296</v>
      </c>
      <c r="B17" s="76" t="s">
        <v>154</v>
      </c>
      <c r="C17" s="77" t="s">
        <v>135</v>
      </c>
      <c r="D17" s="41">
        <v>1</v>
      </c>
      <c r="E17" s="78">
        <v>444</v>
      </c>
      <c r="F17" s="78">
        <v>239.38461538461539</v>
      </c>
      <c r="G17" s="79">
        <v>173177.12015668923</v>
      </c>
      <c r="H17" s="79">
        <v>109114.27619794433</v>
      </c>
      <c r="I17" s="79">
        <v>154434.74217235818</v>
      </c>
      <c r="J17" s="79">
        <v>0</v>
      </c>
      <c r="K17" s="79">
        <v>0</v>
      </c>
      <c r="L17" s="79">
        <v>81577.320156689224</v>
      </c>
      <c r="M17" s="79">
        <v>59319.676384927567</v>
      </c>
      <c r="N17" s="79">
        <v>49098.859023420329</v>
      </c>
      <c r="O17" s="79">
        <v>0</v>
      </c>
      <c r="P17" s="79">
        <v>0</v>
      </c>
      <c r="Q17" s="79"/>
      <c r="R17" s="79">
        <v>69375.836746740591</v>
      </c>
      <c r="S17" s="79">
        <v>54629.386746740587</v>
      </c>
      <c r="T17" s="79">
        <v>146876.21024022176</v>
      </c>
      <c r="U17" s="79">
        <v>109114.27619794433</v>
      </c>
      <c r="V17" s="79">
        <v>109114.27619794433</v>
      </c>
      <c r="W17" s="79">
        <v>109114.27619794433</v>
      </c>
      <c r="X17" s="79">
        <v>109114.27619794433</v>
      </c>
      <c r="Y17" s="79">
        <v>163671.41429691651</v>
      </c>
      <c r="Z17" s="79"/>
      <c r="AA17" s="79">
        <v>0</v>
      </c>
      <c r="AB17" s="79">
        <v>0</v>
      </c>
      <c r="AC17" s="79">
        <v>654685.65718766605</v>
      </c>
      <c r="AD17" s="79">
        <v>206415.75830956543</v>
      </c>
      <c r="AE17" s="79">
        <v>0</v>
      </c>
      <c r="AF17" s="79">
        <v>0</v>
      </c>
      <c r="AG17" s="79">
        <v>327342.82859383302</v>
      </c>
      <c r="AH17" s="79">
        <v>103207.87915478271</v>
      </c>
      <c r="AI17" s="79">
        <v>327342.82859383302</v>
      </c>
      <c r="AJ17" s="79">
        <v>327342.82859383302</v>
      </c>
      <c r="AK17" s="79">
        <v>327342.82859383302</v>
      </c>
      <c r="AL17" s="79">
        <v>327342.82859383302</v>
      </c>
      <c r="AM17" s="79">
        <v>218228.55239588866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/>
      <c r="AW17" s="79">
        <v>0</v>
      </c>
      <c r="AX17" s="79">
        <v>109114.27619794433</v>
      </c>
      <c r="AY17" s="79">
        <v>218228.55239588866</v>
      </c>
      <c r="AZ17" s="79">
        <v>436457.10479177732</v>
      </c>
      <c r="BA17" s="79">
        <v>0</v>
      </c>
      <c r="BB17" s="79">
        <v>0</v>
      </c>
      <c r="BC17" s="79">
        <v>0</v>
      </c>
      <c r="BD17" s="79">
        <v>1418485.5905732764</v>
      </c>
      <c r="BE17" s="79">
        <v>0</v>
      </c>
      <c r="BF17" s="79">
        <v>218228.55239588866</v>
      </c>
      <c r="BG17" s="79">
        <v>0</v>
      </c>
      <c r="BH17" s="79">
        <v>0</v>
      </c>
      <c r="BI17" s="79">
        <v>0</v>
      </c>
      <c r="BJ17" s="79"/>
      <c r="BK17" s="79">
        <v>0</v>
      </c>
      <c r="BL17" s="79"/>
      <c r="BM17" s="79">
        <v>224859.06</v>
      </c>
      <c r="BN17" s="79">
        <v>3578.09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54082.8</v>
      </c>
      <c r="CN17" s="79">
        <v>0</v>
      </c>
      <c r="CO17" s="79">
        <v>0</v>
      </c>
      <c r="CP17" s="79">
        <v>0</v>
      </c>
      <c r="CQ17" s="79">
        <v>4787.6923076923076</v>
      </c>
      <c r="CR17" s="79">
        <v>50400</v>
      </c>
      <c r="CS17" s="79">
        <v>24891.852216748768</v>
      </c>
      <c r="CT17" s="79"/>
      <c r="CU17" s="79">
        <v>0</v>
      </c>
      <c r="CV17" s="79"/>
      <c r="CW17" s="79">
        <v>0</v>
      </c>
      <c r="CX17" s="79">
        <v>0</v>
      </c>
      <c r="CY17" s="79">
        <v>0</v>
      </c>
      <c r="CZ17" s="79">
        <v>0</v>
      </c>
      <c r="DA17" s="79">
        <v>44400</v>
      </c>
      <c r="DB17" s="79">
        <v>108963.15801390892</v>
      </c>
      <c r="DC17" s="82">
        <v>0</v>
      </c>
      <c r="DD17" s="79">
        <v>0</v>
      </c>
      <c r="DE17" s="79"/>
      <c r="DF17" s="79">
        <v>14500</v>
      </c>
      <c r="DG17" s="79">
        <v>0</v>
      </c>
      <c r="DH17" s="83">
        <v>0</v>
      </c>
      <c r="DI17" s="79">
        <v>16324.235733839232</v>
      </c>
      <c r="DJ17" s="79">
        <v>7247960.6658246173</v>
      </c>
      <c r="DK17" s="84">
        <v>4.1753826662898064E-3</v>
      </c>
      <c r="DL17" s="84">
        <v>0</v>
      </c>
      <c r="DM17" s="84">
        <f t="shared" si="16"/>
        <v>7247960.6699999999</v>
      </c>
      <c r="DN17" s="84">
        <f>'[7]FY20 Initial Budget Alloca FTE'!F17*DN$1</f>
        <v>525655.10153846152</v>
      </c>
      <c r="DO17" s="81">
        <f t="shared" si="0"/>
        <v>0</v>
      </c>
      <c r="DP17" s="81">
        <f t="shared" si="17"/>
        <v>69687.692307692312</v>
      </c>
      <c r="DQ17" s="74">
        <f t="shared" si="18"/>
        <v>455967.4092307692</v>
      </c>
      <c r="DR17" s="85">
        <f t="shared" si="25"/>
        <v>0.8674269647460211</v>
      </c>
      <c r="DS17" s="81">
        <f t="shared" si="19"/>
        <v>4039271.5379313813</v>
      </c>
      <c r="DT17" s="81">
        <f t="shared" si="1"/>
        <v>763799.93338561035</v>
      </c>
      <c r="DU17" s="81">
        <f t="shared" si="2"/>
        <v>1636714.142969165</v>
      </c>
      <c r="DV17" s="81">
        <f t="shared" si="3"/>
        <v>228437.15</v>
      </c>
      <c r="DW17" s="81">
        <f t="shared" si="4"/>
        <v>0</v>
      </c>
      <c r="DX17" s="81">
        <f t="shared" si="5"/>
        <v>0</v>
      </c>
      <c r="DY17" s="81">
        <f t="shared" si="6"/>
        <v>0</v>
      </c>
      <c r="DZ17" s="81">
        <f t="shared" si="7"/>
        <v>54082.8</v>
      </c>
      <c r="EA17" s="74">
        <f t="shared" si="8"/>
        <v>455967.4092307692</v>
      </c>
      <c r="EB17" s="81">
        <f t="shared" si="9"/>
        <v>0</v>
      </c>
      <c r="EC17" s="81">
        <f t="shared" si="9"/>
        <v>69687.692307692312</v>
      </c>
      <c r="ED17" s="86">
        <f t="shared" si="20"/>
        <v>0.8674269647460211</v>
      </c>
      <c r="EE17" s="81">
        <f t="shared" si="21"/>
        <v>525655.10153846152</v>
      </c>
      <c r="EF17" s="81">
        <f t="shared" si="22"/>
        <v>7247960.6658246182</v>
      </c>
      <c r="EG17" s="81">
        <f t="shared" si="10"/>
        <v>0</v>
      </c>
      <c r="EH17" s="81">
        <v>6863273.6094323853</v>
      </c>
      <c r="EI17" s="84">
        <f t="shared" si="28"/>
        <v>7193877.8658246174</v>
      </c>
      <c r="EJ17" s="74">
        <f t="shared" si="12"/>
        <v>384687.05639223196</v>
      </c>
      <c r="EK17" s="74">
        <f t="shared" si="13"/>
        <v>330604.25639223214</v>
      </c>
      <c r="EM17" s="88">
        <f t="shared" si="14"/>
        <v>444</v>
      </c>
      <c r="EN17" s="74">
        <v>471</v>
      </c>
      <c r="EO17" s="74">
        <f t="shared" si="15"/>
        <v>-27</v>
      </c>
      <c r="EP17" s="72">
        <v>451</v>
      </c>
      <c r="EQ17" s="74">
        <f t="shared" si="23"/>
        <v>-20</v>
      </c>
      <c r="ER17" s="72">
        <v>471</v>
      </c>
      <c r="ES17" s="74">
        <f t="shared" si="24"/>
        <v>-27</v>
      </c>
      <c r="ET17" s="74"/>
      <c r="EU17" s="74"/>
      <c r="EV17" s="74"/>
      <c r="EW17" s="89"/>
      <c r="EX17" s="81">
        <f t="shared" si="26"/>
        <v>6717498.0132862683</v>
      </c>
      <c r="EY17" s="81">
        <f t="shared" si="27"/>
        <v>530462.65253834997</v>
      </c>
    </row>
    <row r="18" spans="1:155" x14ac:dyDescent="0.25">
      <c r="A18" s="76">
        <v>219</v>
      </c>
      <c r="B18" s="76" t="s">
        <v>155</v>
      </c>
      <c r="C18" s="77" t="s">
        <v>135</v>
      </c>
      <c r="D18" s="41">
        <v>5</v>
      </c>
      <c r="E18" s="78">
        <v>256</v>
      </c>
      <c r="F18" s="78">
        <v>137.7889447236181</v>
      </c>
      <c r="G18" s="79">
        <v>173177.12015668923</v>
      </c>
      <c r="H18" s="79">
        <v>109114.27619794433</v>
      </c>
      <c r="I18" s="79">
        <v>0</v>
      </c>
      <c r="J18" s="79">
        <v>0</v>
      </c>
      <c r="K18" s="79">
        <v>0</v>
      </c>
      <c r="L18" s="79">
        <v>40788.660078344612</v>
      </c>
      <c r="M18" s="79">
        <v>59319.676384927567</v>
      </c>
      <c r="N18" s="79">
        <v>0</v>
      </c>
      <c r="O18" s="79">
        <v>0</v>
      </c>
      <c r="P18" s="79">
        <v>0</v>
      </c>
      <c r="Q18" s="79"/>
      <c r="R18" s="79">
        <v>69375.836746740591</v>
      </c>
      <c r="S18" s="79">
        <v>54629.386746740587</v>
      </c>
      <c r="T18" s="79">
        <v>48958.736746740586</v>
      </c>
      <c r="U18" s="79">
        <v>54557.138098972166</v>
      </c>
      <c r="V18" s="79">
        <v>109114.27619794433</v>
      </c>
      <c r="W18" s="79">
        <v>109114.27619794433</v>
      </c>
      <c r="X18" s="79">
        <v>109114.27619794433</v>
      </c>
      <c r="Y18" s="79">
        <v>0</v>
      </c>
      <c r="Z18" s="79"/>
      <c r="AA18" s="79">
        <v>218228.55239588866</v>
      </c>
      <c r="AB18" s="79">
        <v>68805.252769855142</v>
      </c>
      <c r="AC18" s="79">
        <v>109114.27619794433</v>
      </c>
      <c r="AD18" s="79">
        <v>34402.626384927571</v>
      </c>
      <c r="AE18" s="79">
        <v>218228.55239588866</v>
      </c>
      <c r="AF18" s="79">
        <v>68805.252769855142</v>
      </c>
      <c r="AG18" s="79">
        <v>218228.55239588866</v>
      </c>
      <c r="AH18" s="79">
        <v>68805.252769855142</v>
      </c>
      <c r="AI18" s="79">
        <v>218228.55239588866</v>
      </c>
      <c r="AJ18" s="79">
        <v>109114.27619794433</v>
      </c>
      <c r="AK18" s="79">
        <v>109114.27619794433</v>
      </c>
      <c r="AL18" s="79">
        <v>109114.27619794433</v>
      </c>
      <c r="AM18" s="79">
        <v>218228.55239588866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/>
      <c r="AW18" s="79">
        <v>0</v>
      </c>
      <c r="AX18" s="79">
        <v>54557.138098972166</v>
      </c>
      <c r="AY18" s="79">
        <v>109114.27619794433</v>
      </c>
      <c r="AZ18" s="79">
        <v>545571.38098972163</v>
      </c>
      <c r="BA18" s="79">
        <v>137610.50553971028</v>
      </c>
      <c r="BB18" s="79">
        <v>0</v>
      </c>
      <c r="BC18" s="79">
        <v>0</v>
      </c>
      <c r="BD18" s="79">
        <v>109114.27619794433</v>
      </c>
      <c r="BE18" s="79">
        <v>0</v>
      </c>
      <c r="BF18" s="79">
        <v>0</v>
      </c>
      <c r="BG18" s="79">
        <f>17958-BL18</f>
        <v>6360.9</v>
      </c>
      <c r="BH18" s="79">
        <v>16836</v>
      </c>
      <c r="BI18" s="79">
        <v>6734</v>
      </c>
      <c r="BJ18" s="79"/>
      <c r="BK18" s="79">
        <v>0</v>
      </c>
      <c r="BL18" s="79">
        <v>11597.1</v>
      </c>
      <c r="BM18" s="79">
        <v>95077.83</v>
      </c>
      <c r="BN18" s="79">
        <v>1512.93</v>
      </c>
      <c r="BO18" s="79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54082.8</v>
      </c>
      <c r="CN18" s="79">
        <v>0</v>
      </c>
      <c r="CO18" s="79">
        <v>0</v>
      </c>
      <c r="CP18" s="79">
        <v>0</v>
      </c>
      <c r="CQ18" s="79">
        <v>2755.778894472362</v>
      </c>
      <c r="CR18" s="79">
        <v>0</v>
      </c>
      <c r="CS18" s="79">
        <v>14930.666666666668</v>
      </c>
      <c r="CT18" s="79"/>
      <c r="CU18" s="79">
        <v>0</v>
      </c>
      <c r="CV18" s="79"/>
      <c r="CW18" s="79">
        <v>0</v>
      </c>
      <c r="CX18" s="79">
        <v>0</v>
      </c>
      <c r="CY18" s="79">
        <v>0</v>
      </c>
      <c r="CZ18" s="79">
        <v>0</v>
      </c>
      <c r="DA18" s="79">
        <v>25600</v>
      </c>
      <c r="DB18" s="79">
        <v>58952.556760679108</v>
      </c>
      <c r="DC18" s="82">
        <v>0</v>
      </c>
      <c r="DD18" s="79">
        <v>0</v>
      </c>
      <c r="DE18" s="79"/>
      <c r="DF18" s="79">
        <v>9750</v>
      </c>
      <c r="DG18" s="79">
        <v>0</v>
      </c>
      <c r="DH18" s="83">
        <v>0</v>
      </c>
      <c r="DI18" s="79">
        <v>15491.562697510768</v>
      </c>
      <c r="DJ18" s="79">
        <v>3965840.0505627566</v>
      </c>
      <c r="DK18" s="84">
        <v>-5.6275678798556328E-4</v>
      </c>
      <c r="DL18" s="84">
        <v>0</v>
      </c>
      <c r="DM18" s="84">
        <f t="shared" si="16"/>
        <v>3965840.05</v>
      </c>
      <c r="DN18" s="84">
        <f>'[7]FY20 Initial Budget Alloca FTE'!F18*DN$1</f>
        <v>302565.23216080404</v>
      </c>
      <c r="DO18" s="81">
        <f t="shared" si="0"/>
        <v>29930.9</v>
      </c>
      <c r="DP18" s="81">
        <f t="shared" si="17"/>
        <v>12505.778894472362</v>
      </c>
      <c r="DQ18" s="74">
        <f t="shared" si="18"/>
        <v>260128.5532663317</v>
      </c>
      <c r="DR18" s="85">
        <f t="shared" si="25"/>
        <v>0.8597437035597052</v>
      </c>
      <c r="DS18" s="81">
        <f t="shared" si="19"/>
        <v>2545036.5813776599</v>
      </c>
      <c r="DT18" s="81">
        <f t="shared" si="1"/>
        <v>846853.30082634848</v>
      </c>
      <c r="DU18" s="81">
        <f t="shared" si="2"/>
        <v>109114.27619794433</v>
      </c>
      <c r="DV18" s="81">
        <f t="shared" si="3"/>
        <v>108187.86</v>
      </c>
      <c r="DW18" s="81">
        <f t="shared" si="4"/>
        <v>0</v>
      </c>
      <c r="DX18" s="81">
        <f t="shared" si="5"/>
        <v>0</v>
      </c>
      <c r="DY18" s="81">
        <f t="shared" si="6"/>
        <v>0</v>
      </c>
      <c r="DZ18" s="81">
        <f t="shared" si="7"/>
        <v>54082.8</v>
      </c>
      <c r="EA18" s="74">
        <f t="shared" si="8"/>
        <v>260128.5532663317</v>
      </c>
      <c r="EB18" s="81">
        <f t="shared" si="9"/>
        <v>29930.9</v>
      </c>
      <c r="EC18" s="81">
        <f t="shared" si="9"/>
        <v>12505.778894472362</v>
      </c>
      <c r="ED18" s="86">
        <f t="shared" si="20"/>
        <v>0.8597437035597052</v>
      </c>
      <c r="EE18" s="81">
        <f t="shared" si="21"/>
        <v>302565.23216080404</v>
      </c>
      <c r="EF18" s="81">
        <f t="shared" si="22"/>
        <v>3965840.0505627561</v>
      </c>
      <c r="EG18" s="81">
        <f t="shared" si="10"/>
        <v>0</v>
      </c>
      <c r="EH18" s="81">
        <v>3352125.2286516423</v>
      </c>
      <c r="EI18" s="84">
        <f t="shared" si="28"/>
        <v>3911757.2505627568</v>
      </c>
      <c r="EJ18" s="74">
        <f t="shared" si="12"/>
        <v>613714.82191111427</v>
      </c>
      <c r="EK18" s="74">
        <f t="shared" si="13"/>
        <v>559632.02191111445</v>
      </c>
      <c r="EM18" s="88">
        <f t="shared" si="14"/>
        <v>256</v>
      </c>
      <c r="EN18" s="74">
        <v>219</v>
      </c>
      <c r="EO18" s="74">
        <f t="shared" si="15"/>
        <v>37</v>
      </c>
      <c r="EP18" s="72">
        <v>221</v>
      </c>
      <c r="EQ18" s="74">
        <f t="shared" si="23"/>
        <v>2</v>
      </c>
      <c r="ER18" s="72">
        <v>221</v>
      </c>
      <c r="ES18" s="74">
        <f t="shared" si="24"/>
        <v>35</v>
      </c>
      <c r="ET18" s="74"/>
      <c r="EU18" s="74"/>
      <c r="EV18" s="74"/>
      <c r="EW18" s="89"/>
      <c r="EX18" s="81">
        <f t="shared" si="26"/>
        <v>3691580.3882409385</v>
      </c>
      <c r="EY18" s="81">
        <f t="shared" si="27"/>
        <v>274259.66232181812</v>
      </c>
    </row>
    <row r="19" spans="1:155" x14ac:dyDescent="0.25">
      <c r="A19" s="76">
        <v>220</v>
      </c>
      <c r="B19" s="76" t="s">
        <v>156</v>
      </c>
      <c r="C19" s="77" t="s">
        <v>135</v>
      </c>
      <c r="D19" s="41">
        <v>5</v>
      </c>
      <c r="E19" s="78">
        <v>271</v>
      </c>
      <c r="F19" s="78">
        <v>139.93015873015872</v>
      </c>
      <c r="G19" s="79">
        <v>173177.12015668923</v>
      </c>
      <c r="H19" s="79">
        <v>109114.27619794433</v>
      </c>
      <c r="I19" s="79">
        <v>0</v>
      </c>
      <c r="J19" s="79">
        <v>0</v>
      </c>
      <c r="K19" s="79">
        <v>0</v>
      </c>
      <c r="L19" s="79">
        <v>40788.660078344612</v>
      </c>
      <c r="M19" s="79">
        <v>59319.676384927567</v>
      </c>
      <c r="N19" s="79">
        <v>0</v>
      </c>
      <c r="O19" s="79">
        <v>0</v>
      </c>
      <c r="P19" s="79">
        <v>0</v>
      </c>
      <c r="Q19" s="79"/>
      <c r="R19" s="79">
        <v>69375.836746740591</v>
      </c>
      <c r="S19" s="79">
        <v>54629.386746740587</v>
      </c>
      <c r="T19" s="79">
        <v>48958.736746740586</v>
      </c>
      <c r="U19" s="79">
        <v>54557.138098972166</v>
      </c>
      <c r="V19" s="79">
        <v>109114.27619794433</v>
      </c>
      <c r="W19" s="79">
        <v>109114.27619794433</v>
      </c>
      <c r="X19" s="79">
        <v>109114.27619794433</v>
      </c>
      <c r="Y19" s="79">
        <v>0</v>
      </c>
      <c r="Z19" s="79"/>
      <c r="AA19" s="79">
        <v>218228.55239588866</v>
      </c>
      <c r="AB19" s="79">
        <v>68805.252769855142</v>
      </c>
      <c r="AC19" s="79">
        <v>109114.27619794433</v>
      </c>
      <c r="AD19" s="79">
        <v>68805.252769855142</v>
      </c>
      <c r="AE19" s="79">
        <v>218228.55239588866</v>
      </c>
      <c r="AF19" s="79">
        <v>68805.252769855142</v>
      </c>
      <c r="AG19" s="79">
        <v>218228.55239588866</v>
      </c>
      <c r="AH19" s="79">
        <v>68805.252769855142</v>
      </c>
      <c r="AI19" s="79">
        <v>218228.55239588866</v>
      </c>
      <c r="AJ19" s="79">
        <v>109114.27619794433</v>
      </c>
      <c r="AK19" s="79">
        <v>218228.55239588866</v>
      </c>
      <c r="AL19" s="79">
        <v>109114.27619794433</v>
      </c>
      <c r="AM19" s="79">
        <v>218228.55239588866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/>
      <c r="AW19" s="79">
        <v>0</v>
      </c>
      <c r="AX19" s="79">
        <v>109114.27619794433</v>
      </c>
      <c r="AY19" s="79">
        <v>109114.27619794433</v>
      </c>
      <c r="AZ19" s="79">
        <v>654685.65718766605</v>
      </c>
      <c r="BA19" s="79">
        <v>206415.75830956543</v>
      </c>
      <c r="BB19" s="79">
        <v>0</v>
      </c>
      <c r="BC19" s="79">
        <v>0</v>
      </c>
      <c r="BD19" s="79">
        <v>109114.27619794433</v>
      </c>
      <c r="BE19" s="79">
        <v>0</v>
      </c>
      <c r="BF19" s="79">
        <v>0</v>
      </c>
      <c r="BG19" s="79">
        <f>35916-BL19</f>
        <v>12721.8</v>
      </c>
      <c r="BH19" s="79">
        <v>33672</v>
      </c>
      <c r="BI19" s="79">
        <v>6734</v>
      </c>
      <c r="BJ19" s="79"/>
      <c r="BK19" s="79">
        <v>0</v>
      </c>
      <c r="BL19" s="79">
        <v>23194.2</v>
      </c>
      <c r="BM19" s="79">
        <v>134059.74</v>
      </c>
      <c r="BN19" s="79">
        <v>2133.2399999999998</v>
      </c>
      <c r="BO19" s="79">
        <v>0</v>
      </c>
      <c r="BP19" s="79">
        <v>0</v>
      </c>
      <c r="BQ19" s="79">
        <v>0</v>
      </c>
      <c r="BR19" s="79">
        <v>0</v>
      </c>
      <c r="BS19" s="79">
        <v>0</v>
      </c>
      <c r="BT19" s="79">
        <v>0</v>
      </c>
      <c r="BU19" s="79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79">
        <v>0</v>
      </c>
      <c r="CE19" s="79">
        <v>0</v>
      </c>
      <c r="CF19" s="79">
        <v>0</v>
      </c>
      <c r="CG19" s="79">
        <v>0</v>
      </c>
      <c r="CH19" s="79">
        <v>0</v>
      </c>
      <c r="CI19" s="79">
        <v>0</v>
      </c>
      <c r="CJ19" s="79">
        <v>0</v>
      </c>
      <c r="CK19" s="79">
        <v>0</v>
      </c>
      <c r="CL19" s="79">
        <v>0</v>
      </c>
      <c r="CM19" s="79">
        <v>54082.8</v>
      </c>
      <c r="CN19" s="79">
        <v>0</v>
      </c>
      <c r="CO19" s="79">
        <v>0</v>
      </c>
      <c r="CP19" s="79">
        <v>0</v>
      </c>
      <c r="CQ19" s="79">
        <v>2798.6031746031745</v>
      </c>
      <c r="CR19" s="79">
        <v>0</v>
      </c>
      <c r="CS19" s="79">
        <v>15843.97211111111</v>
      </c>
      <c r="CT19" s="79"/>
      <c r="CU19" s="79">
        <v>0</v>
      </c>
      <c r="CV19" s="79"/>
      <c r="CW19" s="79">
        <v>0</v>
      </c>
      <c r="CX19" s="79">
        <v>0</v>
      </c>
      <c r="CY19" s="79">
        <v>0</v>
      </c>
      <c r="CZ19" s="79">
        <v>0</v>
      </c>
      <c r="DA19" s="79">
        <v>27100</v>
      </c>
      <c r="DB19" s="79">
        <v>65006.053232038372</v>
      </c>
      <c r="DC19" s="82">
        <v>0</v>
      </c>
      <c r="DD19" s="79">
        <v>0</v>
      </c>
      <c r="DE19" s="79"/>
      <c r="DF19" s="79">
        <v>10500</v>
      </c>
      <c r="DG19" s="79">
        <v>0</v>
      </c>
      <c r="DH19" s="83">
        <v>25448.979664238635</v>
      </c>
      <c r="DI19" s="79">
        <v>16424.127107278866</v>
      </c>
      <c r="DJ19" s="79">
        <v>4450938.4460725747</v>
      </c>
      <c r="DK19" s="84">
        <v>109114.5539274253</v>
      </c>
      <c r="DL19" s="84">
        <v>0</v>
      </c>
      <c r="DM19" s="84">
        <f t="shared" si="16"/>
        <v>4560053</v>
      </c>
      <c r="DN19" s="84">
        <f>'[7]FY20 Initial Budget Alloca FTE'!F19*DN$1</f>
        <v>307267.03834920633</v>
      </c>
      <c r="DO19" s="81">
        <f t="shared" si="0"/>
        <v>53127.8</v>
      </c>
      <c r="DP19" s="81">
        <f t="shared" si="17"/>
        <v>13298.603174603175</v>
      </c>
      <c r="DQ19" s="74">
        <f t="shared" si="18"/>
        <v>240840.63517460314</v>
      </c>
      <c r="DR19" s="85">
        <f t="shared" si="25"/>
        <v>0.78381539545706114</v>
      </c>
      <c r="DS19" s="81">
        <f t="shared" si="19"/>
        <v>2716308.2039680639</v>
      </c>
      <c r="DT19" s="81">
        <f t="shared" si="1"/>
        <v>1079329.9678931201</v>
      </c>
      <c r="DU19" s="81">
        <f t="shared" si="2"/>
        <v>109114.27619794433</v>
      </c>
      <c r="DV19" s="81">
        <f t="shared" si="3"/>
        <v>159387.18</v>
      </c>
      <c r="DW19" s="81">
        <f t="shared" si="4"/>
        <v>0</v>
      </c>
      <c r="DX19" s="81">
        <f t="shared" si="5"/>
        <v>0</v>
      </c>
      <c r="DY19" s="81">
        <f t="shared" si="6"/>
        <v>25448.979664238635</v>
      </c>
      <c r="DZ19" s="81">
        <f t="shared" si="7"/>
        <v>54082.8</v>
      </c>
      <c r="EA19" s="74">
        <f t="shared" si="8"/>
        <v>240840.63517460314</v>
      </c>
      <c r="EB19" s="81">
        <f t="shared" si="9"/>
        <v>53127.8</v>
      </c>
      <c r="EC19" s="81">
        <f t="shared" si="9"/>
        <v>13298.603174603175</v>
      </c>
      <c r="ED19" s="86">
        <f t="shared" si="20"/>
        <v>0.78381539545706114</v>
      </c>
      <c r="EE19" s="81">
        <f t="shared" si="21"/>
        <v>307267.03834920633</v>
      </c>
      <c r="EF19" s="81">
        <f t="shared" si="22"/>
        <v>4450938.4460725728</v>
      </c>
      <c r="EG19" s="81">
        <f t="shared" si="10"/>
        <v>0</v>
      </c>
      <c r="EH19" s="81">
        <v>4500258.5340063907</v>
      </c>
      <c r="EI19" s="84">
        <f t="shared" si="28"/>
        <v>4396855.6460725749</v>
      </c>
      <c r="EJ19" s="74">
        <f t="shared" si="12"/>
        <v>-49320.087933816016</v>
      </c>
      <c r="EK19" s="74">
        <f t="shared" si="13"/>
        <v>-103402.88793381583</v>
      </c>
      <c r="EM19" s="88">
        <f t="shared" si="14"/>
        <v>271</v>
      </c>
      <c r="EN19" s="74">
        <v>303</v>
      </c>
      <c r="EO19" s="74">
        <f t="shared" si="15"/>
        <v>-32</v>
      </c>
      <c r="EP19" s="72">
        <v>273</v>
      </c>
      <c r="EQ19" s="74">
        <f t="shared" si="23"/>
        <v>-30</v>
      </c>
      <c r="ER19" s="72">
        <v>324</v>
      </c>
      <c r="ES19" s="74">
        <f t="shared" si="24"/>
        <v>-53</v>
      </c>
      <c r="ET19" s="74"/>
      <c r="EU19" s="74"/>
      <c r="EV19" s="74"/>
      <c r="EW19" s="89"/>
      <c r="EX19" s="81">
        <f t="shared" si="26"/>
        <v>4090770.8578905822</v>
      </c>
      <c r="EY19" s="81">
        <f t="shared" si="27"/>
        <v>360167.58818199125</v>
      </c>
    </row>
    <row r="20" spans="1:155" x14ac:dyDescent="0.25">
      <c r="A20" s="76">
        <v>221</v>
      </c>
      <c r="B20" s="76" t="s">
        <v>157</v>
      </c>
      <c r="C20" s="77" t="s">
        <v>135</v>
      </c>
      <c r="D20" s="41">
        <v>7</v>
      </c>
      <c r="E20" s="78">
        <v>296</v>
      </c>
      <c r="F20" s="78">
        <v>221.97134670487105</v>
      </c>
      <c r="G20" s="79">
        <v>173177.12015668923</v>
      </c>
      <c r="H20" s="79">
        <v>109114.27619794433</v>
      </c>
      <c r="I20" s="79">
        <v>0</v>
      </c>
      <c r="J20" s="79">
        <v>0</v>
      </c>
      <c r="K20" s="79">
        <v>0</v>
      </c>
      <c r="L20" s="79">
        <v>40788.660078344612</v>
      </c>
      <c r="M20" s="79">
        <v>59319.676384927567</v>
      </c>
      <c r="N20" s="79">
        <v>0</v>
      </c>
      <c r="O20" s="79">
        <v>0</v>
      </c>
      <c r="P20" s="79">
        <v>0</v>
      </c>
      <c r="Q20" s="79"/>
      <c r="R20" s="79">
        <v>69375.836746740591</v>
      </c>
      <c r="S20" s="79">
        <v>54629.386746740587</v>
      </c>
      <c r="T20" s="79">
        <v>48958.736746740586</v>
      </c>
      <c r="U20" s="79">
        <v>54557.138098972166</v>
      </c>
      <c r="V20" s="79">
        <v>109114.27619794433</v>
      </c>
      <c r="W20" s="79">
        <v>109114.27619794433</v>
      </c>
      <c r="X20" s="79">
        <v>109114.27619794433</v>
      </c>
      <c r="Y20" s="79">
        <v>0</v>
      </c>
      <c r="Z20" s="79"/>
      <c r="AA20" s="79">
        <v>218228.55239588866</v>
      </c>
      <c r="AB20" s="79">
        <v>68805.252769855142</v>
      </c>
      <c r="AC20" s="79">
        <v>109114.27619794433</v>
      </c>
      <c r="AD20" s="79">
        <v>34402.626384927571</v>
      </c>
      <c r="AE20" s="79">
        <v>327342.82859383302</v>
      </c>
      <c r="AF20" s="79">
        <v>103207.87915478271</v>
      </c>
      <c r="AG20" s="79">
        <v>327342.82859383302</v>
      </c>
      <c r="AH20" s="79">
        <v>103207.87915478271</v>
      </c>
      <c r="AI20" s="79">
        <v>218228.55239588866</v>
      </c>
      <c r="AJ20" s="79">
        <v>218228.55239588866</v>
      </c>
      <c r="AK20" s="79">
        <v>218228.55239588866</v>
      </c>
      <c r="AL20" s="79">
        <v>109114.27619794433</v>
      </c>
      <c r="AM20" s="79">
        <v>109114.27619794433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/>
      <c r="AW20" s="79">
        <v>0</v>
      </c>
      <c r="AX20" s="79">
        <v>109114.27619794433</v>
      </c>
      <c r="AY20" s="79">
        <v>109114.27619794433</v>
      </c>
      <c r="AZ20" s="79">
        <v>218228.55239588866</v>
      </c>
      <c r="BA20" s="79">
        <v>0</v>
      </c>
      <c r="BB20" s="79">
        <v>0</v>
      </c>
      <c r="BC20" s="79">
        <v>0</v>
      </c>
      <c r="BD20" s="79">
        <v>9919.4796543585762</v>
      </c>
      <c r="BE20" s="79">
        <v>0</v>
      </c>
      <c r="BF20" s="79">
        <v>0</v>
      </c>
      <c r="BG20" s="79">
        <f>23944-BL20</f>
        <v>12346.9</v>
      </c>
      <c r="BH20" s="79">
        <v>22448</v>
      </c>
      <c r="BI20" s="79">
        <v>6734</v>
      </c>
      <c r="BJ20" s="79"/>
      <c r="BK20" s="79">
        <v>0</v>
      </c>
      <c r="BL20" s="79">
        <v>11597.1</v>
      </c>
      <c r="BM20" s="79">
        <v>142616.74</v>
      </c>
      <c r="BN20" s="79">
        <v>2269.4</v>
      </c>
      <c r="BO20" s="79">
        <v>0</v>
      </c>
      <c r="BP20" s="79">
        <v>0</v>
      </c>
      <c r="BQ20" s="79">
        <v>0</v>
      </c>
      <c r="BR20" s="79">
        <v>0</v>
      </c>
      <c r="BS20" s="79">
        <v>0</v>
      </c>
      <c r="BT20" s="79">
        <v>0</v>
      </c>
      <c r="BU20" s="79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79">
        <v>0</v>
      </c>
      <c r="CE20" s="79">
        <v>0</v>
      </c>
      <c r="CF20" s="79">
        <v>0</v>
      </c>
      <c r="CG20" s="79">
        <v>0</v>
      </c>
      <c r="CH20" s="79">
        <v>0</v>
      </c>
      <c r="CI20" s="79">
        <v>0</v>
      </c>
      <c r="CJ20" s="79">
        <v>0</v>
      </c>
      <c r="CK20" s="79">
        <v>0</v>
      </c>
      <c r="CL20" s="79">
        <v>0</v>
      </c>
      <c r="CM20" s="79">
        <v>108165.6</v>
      </c>
      <c r="CN20" s="79">
        <v>0</v>
      </c>
      <c r="CO20" s="79">
        <v>0</v>
      </c>
      <c r="CP20" s="79">
        <v>0</v>
      </c>
      <c r="CQ20" s="79">
        <v>4439.4269340974206</v>
      </c>
      <c r="CR20" s="79">
        <v>0</v>
      </c>
      <c r="CS20" s="79">
        <v>18255</v>
      </c>
      <c r="CT20" s="79"/>
      <c r="CU20" s="79">
        <v>0</v>
      </c>
      <c r="CV20" s="79"/>
      <c r="CW20" s="79">
        <v>0</v>
      </c>
      <c r="CX20" s="79">
        <v>0</v>
      </c>
      <c r="CY20" s="79">
        <v>0</v>
      </c>
      <c r="CZ20" s="79">
        <v>0</v>
      </c>
      <c r="DA20" s="79">
        <v>29600</v>
      </c>
      <c r="DB20" s="79">
        <v>57126.125890126175</v>
      </c>
      <c r="DC20" s="82">
        <v>0</v>
      </c>
      <c r="DD20" s="79">
        <v>15363.214285714286</v>
      </c>
      <c r="DE20" s="79"/>
      <c r="DF20" s="79">
        <v>12000</v>
      </c>
      <c r="DG20" s="79">
        <v>0</v>
      </c>
      <c r="DH20" s="83">
        <v>107143.69429347086</v>
      </c>
      <c r="DI20" s="79">
        <v>13845.647900100943</v>
      </c>
      <c r="DJ20" s="79">
        <v>4098311.7784298784</v>
      </c>
      <c r="DK20" s="84">
        <v>75000.22157012159</v>
      </c>
      <c r="DL20" s="84">
        <v>80770.38</v>
      </c>
      <c r="DM20" s="84">
        <f t="shared" si="16"/>
        <v>4254082.38</v>
      </c>
      <c r="DN20" s="84">
        <f>'[7]FY20 Initial Budget Alloca FTE'!F20*DN$1</f>
        <v>487418.0013753582</v>
      </c>
      <c r="DO20" s="81">
        <f t="shared" si="0"/>
        <v>41528.9</v>
      </c>
      <c r="DP20" s="81">
        <f t="shared" si="17"/>
        <v>16439.426934097421</v>
      </c>
      <c r="DQ20" s="74">
        <f t="shared" si="18"/>
        <v>429449.67444126075</v>
      </c>
      <c r="DR20" s="85">
        <f t="shared" si="25"/>
        <v>0.88107060721900521</v>
      </c>
      <c r="DS20" s="81">
        <f t="shared" si="19"/>
        <v>2777361.4440291994</v>
      </c>
      <c r="DT20" s="81">
        <f t="shared" si="1"/>
        <v>436457.10479177732</v>
      </c>
      <c r="DU20" s="81">
        <f t="shared" si="2"/>
        <v>9919.4796543585762</v>
      </c>
      <c r="DV20" s="81">
        <f t="shared" si="3"/>
        <v>156483.24</v>
      </c>
      <c r="DW20" s="81">
        <f t="shared" si="4"/>
        <v>15363.214285714286</v>
      </c>
      <c r="DX20" s="81">
        <f t="shared" si="5"/>
        <v>0</v>
      </c>
      <c r="DY20" s="81">
        <f t="shared" si="6"/>
        <v>107143.69429347086</v>
      </c>
      <c r="DZ20" s="81">
        <f t="shared" si="7"/>
        <v>108165.6</v>
      </c>
      <c r="EA20" s="74">
        <f t="shared" si="8"/>
        <v>429449.67444126075</v>
      </c>
      <c r="EB20" s="81">
        <f t="shared" si="9"/>
        <v>41528.9</v>
      </c>
      <c r="EC20" s="81">
        <f t="shared" si="9"/>
        <v>16439.426934097421</v>
      </c>
      <c r="ED20" s="86">
        <f t="shared" si="20"/>
        <v>0.88107060721900521</v>
      </c>
      <c r="EE20" s="81">
        <f t="shared" si="21"/>
        <v>487418.0013753582</v>
      </c>
      <c r="EF20" s="81">
        <f t="shared" si="22"/>
        <v>4098311.7784298784</v>
      </c>
      <c r="EG20" s="81">
        <f t="shared" si="10"/>
        <v>0</v>
      </c>
      <c r="EH20" s="81">
        <v>4256792.1956852144</v>
      </c>
      <c r="EI20" s="84">
        <f t="shared" si="28"/>
        <v>3990146.1784298783</v>
      </c>
      <c r="EJ20" s="74">
        <f t="shared" si="12"/>
        <v>-158480.41725533595</v>
      </c>
      <c r="EK20" s="74">
        <f t="shared" si="13"/>
        <v>-266646.01725533605</v>
      </c>
      <c r="EM20" s="88">
        <f t="shared" si="14"/>
        <v>296</v>
      </c>
      <c r="EN20" s="74">
        <v>302</v>
      </c>
      <c r="EO20" s="74">
        <f t="shared" si="15"/>
        <v>-6</v>
      </c>
      <c r="EP20" s="72">
        <v>295</v>
      </c>
      <c r="EQ20" s="74">
        <f t="shared" si="23"/>
        <v>-7</v>
      </c>
      <c r="ER20" s="72">
        <v>287</v>
      </c>
      <c r="ES20" s="74">
        <f t="shared" si="24"/>
        <v>9</v>
      </c>
      <c r="ET20" s="74"/>
      <c r="EU20" s="74"/>
      <c r="EV20" s="74"/>
      <c r="EW20" s="89"/>
      <c r="EX20" s="81">
        <f t="shared" si="26"/>
        <v>3589735.47702647</v>
      </c>
      <c r="EY20" s="81">
        <f t="shared" si="27"/>
        <v>508576.3014034087</v>
      </c>
    </row>
    <row r="21" spans="1:155" x14ac:dyDescent="0.25">
      <c r="A21" s="76">
        <v>247</v>
      </c>
      <c r="B21" s="76" t="s">
        <v>158</v>
      </c>
      <c r="C21" s="77" t="s">
        <v>135</v>
      </c>
      <c r="D21" s="41">
        <v>7</v>
      </c>
      <c r="E21" s="78">
        <v>220</v>
      </c>
      <c r="F21" s="78">
        <v>185</v>
      </c>
      <c r="G21" s="79">
        <v>173177.12015668923</v>
      </c>
      <c r="H21" s="79">
        <v>109114.27619794433</v>
      </c>
      <c r="I21" s="79">
        <v>0</v>
      </c>
      <c r="J21" s="79">
        <v>0</v>
      </c>
      <c r="K21" s="79">
        <v>0</v>
      </c>
      <c r="L21" s="79">
        <v>40788.660078344612</v>
      </c>
      <c r="M21" s="79">
        <v>59319.676384927567</v>
      </c>
      <c r="N21" s="79">
        <v>0</v>
      </c>
      <c r="O21" s="79">
        <v>0</v>
      </c>
      <c r="P21" s="79">
        <v>0</v>
      </c>
      <c r="Q21" s="79"/>
      <c r="R21" s="79">
        <v>69375.836746740591</v>
      </c>
      <c r="S21" s="79">
        <v>54629.386746740587</v>
      </c>
      <c r="T21" s="79">
        <v>48958.736746740586</v>
      </c>
      <c r="U21" s="79">
        <v>54557.138098972166</v>
      </c>
      <c r="V21" s="79">
        <v>109114.27619794433</v>
      </c>
      <c r="W21" s="79">
        <v>109114.27619794433</v>
      </c>
      <c r="X21" s="79">
        <v>109114.27619794433</v>
      </c>
      <c r="Y21" s="79">
        <v>0</v>
      </c>
      <c r="Z21" s="79"/>
      <c r="AA21" s="79">
        <v>109114.27619794433</v>
      </c>
      <c r="AB21" s="79">
        <v>34402.626384927571</v>
      </c>
      <c r="AC21" s="79">
        <v>0</v>
      </c>
      <c r="AD21" s="79">
        <v>0</v>
      </c>
      <c r="AE21" s="79">
        <v>218228.55239588866</v>
      </c>
      <c r="AF21" s="79">
        <v>68805.252769855142</v>
      </c>
      <c r="AG21" s="79">
        <v>218228.55239588866</v>
      </c>
      <c r="AH21" s="79">
        <v>68805.252769855142</v>
      </c>
      <c r="AI21" s="79">
        <v>218228.55239588866</v>
      </c>
      <c r="AJ21" s="79">
        <v>109114.27619794433</v>
      </c>
      <c r="AK21" s="79">
        <v>109114.27619794433</v>
      </c>
      <c r="AL21" s="79">
        <v>218228.55239588866</v>
      </c>
      <c r="AM21" s="79">
        <v>109114.27619794433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/>
      <c r="AW21" s="79">
        <v>0</v>
      </c>
      <c r="AX21" s="79">
        <v>109114.27619794433</v>
      </c>
      <c r="AY21" s="79">
        <v>218228.55239588866</v>
      </c>
      <c r="AZ21" s="79">
        <v>654685.65718766605</v>
      </c>
      <c r="BA21" s="79">
        <v>137610.50553971028</v>
      </c>
      <c r="BB21" s="79">
        <v>0</v>
      </c>
      <c r="BC21" s="79">
        <v>0</v>
      </c>
      <c r="BD21" s="79">
        <v>9919.4796543585762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/>
      <c r="BK21" s="79">
        <v>0</v>
      </c>
      <c r="BL21" s="79"/>
      <c r="BM21" s="79">
        <v>132158.18</v>
      </c>
      <c r="BN21" s="79">
        <v>2102.98</v>
      </c>
      <c r="BO21" s="79">
        <v>0</v>
      </c>
      <c r="BP21" s="79">
        <v>0</v>
      </c>
      <c r="BQ21" s="79">
        <v>0</v>
      </c>
      <c r="BR21" s="79">
        <v>0</v>
      </c>
      <c r="BS21" s="79">
        <v>0</v>
      </c>
      <c r="BT21" s="79">
        <v>109114.27619794433</v>
      </c>
      <c r="BU21" s="79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108165.6</v>
      </c>
      <c r="CN21" s="79">
        <v>0</v>
      </c>
      <c r="CO21" s="79">
        <v>0</v>
      </c>
      <c r="CP21" s="79">
        <v>75000</v>
      </c>
      <c r="CQ21" s="79">
        <v>7400</v>
      </c>
      <c r="CR21" s="79">
        <v>0</v>
      </c>
      <c r="CS21" s="79">
        <v>12992.392694063927</v>
      </c>
      <c r="CT21" s="79"/>
      <c r="CU21" s="79">
        <v>0</v>
      </c>
      <c r="CV21" s="79"/>
      <c r="CW21" s="79">
        <v>0</v>
      </c>
      <c r="CX21" s="79">
        <v>0</v>
      </c>
      <c r="CY21" s="79">
        <v>0</v>
      </c>
      <c r="CZ21" s="79">
        <v>0</v>
      </c>
      <c r="DA21" s="79">
        <v>22000</v>
      </c>
      <c r="DB21" s="79">
        <v>57126.125890126175</v>
      </c>
      <c r="DC21" s="82">
        <v>0</v>
      </c>
      <c r="DD21" s="79">
        <v>15363.214285714286</v>
      </c>
      <c r="DE21" s="79"/>
      <c r="DF21" s="79">
        <v>21900</v>
      </c>
      <c r="DG21" s="79">
        <v>0</v>
      </c>
      <c r="DH21" s="83">
        <v>105063.18339165328</v>
      </c>
      <c r="DI21" s="79">
        <v>19166.329679481692</v>
      </c>
      <c r="DJ21" s="79">
        <v>4216592.5294859717</v>
      </c>
      <c r="DK21" s="84">
        <v>105202.47051402833</v>
      </c>
      <c r="DL21" s="84">
        <v>73126.25</v>
      </c>
      <c r="DM21" s="84">
        <f t="shared" si="16"/>
        <v>4394921.25</v>
      </c>
      <c r="DN21" s="84">
        <f>'[7]FY20 Initial Budget Alloca FTE'!F21*DN$1</f>
        <v>406234.10000000003</v>
      </c>
      <c r="DO21" s="81">
        <f t="shared" si="0"/>
        <v>0</v>
      </c>
      <c r="DP21" s="81">
        <f t="shared" si="17"/>
        <v>213414.27619794433</v>
      </c>
      <c r="DQ21" s="74">
        <f t="shared" si="18"/>
        <v>192819.8238020557</v>
      </c>
      <c r="DR21" s="85">
        <f t="shared" si="25"/>
        <v>0.47465198958446791</v>
      </c>
      <c r="DS21" s="81">
        <f t="shared" si="19"/>
        <v>2317946.8008330362</v>
      </c>
      <c r="DT21" s="81">
        <f t="shared" si="1"/>
        <v>1119638.9913212094</v>
      </c>
      <c r="DU21" s="81">
        <f t="shared" si="2"/>
        <v>9919.4796543585762</v>
      </c>
      <c r="DV21" s="81">
        <f t="shared" si="3"/>
        <v>134261.16</v>
      </c>
      <c r="DW21" s="81">
        <f t="shared" si="4"/>
        <v>15363.214285714286</v>
      </c>
      <c r="DX21" s="81">
        <f t="shared" si="5"/>
        <v>0</v>
      </c>
      <c r="DY21" s="81">
        <f t="shared" si="6"/>
        <v>105063.18339165328</v>
      </c>
      <c r="DZ21" s="81">
        <f t="shared" si="7"/>
        <v>108165.6</v>
      </c>
      <c r="EA21" s="74">
        <f t="shared" si="8"/>
        <v>192819.8238020557</v>
      </c>
      <c r="EB21" s="81">
        <f t="shared" si="9"/>
        <v>0</v>
      </c>
      <c r="EC21" s="81">
        <f t="shared" si="9"/>
        <v>213414.27619794433</v>
      </c>
      <c r="ED21" s="86">
        <f t="shared" si="20"/>
        <v>0.47465198958446791</v>
      </c>
      <c r="EE21" s="81">
        <f t="shared" si="21"/>
        <v>406234.10000000003</v>
      </c>
      <c r="EF21" s="81">
        <f t="shared" si="22"/>
        <v>4216592.5294859726</v>
      </c>
      <c r="EG21" s="81">
        <f t="shared" si="10"/>
        <v>0</v>
      </c>
      <c r="EH21" s="81">
        <v>4381901.667808</v>
      </c>
      <c r="EI21" s="84">
        <f t="shared" si="28"/>
        <v>4108426.9294859716</v>
      </c>
      <c r="EJ21" s="74">
        <f t="shared" si="12"/>
        <v>-165309.13832202833</v>
      </c>
      <c r="EK21" s="74">
        <f t="shared" si="13"/>
        <v>-273474.73832202842</v>
      </c>
      <c r="EM21" s="88">
        <f t="shared" si="14"/>
        <v>220</v>
      </c>
      <c r="EN21" s="74">
        <v>269</v>
      </c>
      <c r="EO21" s="74">
        <f t="shared" si="15"/>
        <v>-49</v>
      </c>
      <c r="EP21" s="90">
        <v>232</v>
      </c>
      <c r="EQ21" s="74">
        <f t="shared" si="23"/>
        <v>-37</v>
      </c>
      <c r="ER21" s="72">
        <v>247</v>
      </c>
      <c r="ES21" s="74">
        <f t="shared" si="24"/>
        <v>-27</v>
      </c>
      <c r="ET21" s="74"/>
      <c r="EU21" s="74"/>
      <c r="EV21" s="74"/>
      <c r="EW21" s="89"/>
      <c r="EX21" s="81">
        <f t="shared" si="26"/>
        <v>3657320.8532244144</v>
      </c>
      <c r="EY21" s="81">
        <f t="shared" si="27"/>
        <v>559271.67626155762</v>
      </c>
    </row>
    <row r="22" spans="1:155" x14ac:dyDescent="0.25">
      <c r="A22" s="76">
        <v>360</v>
      </c>
      <c r="B22" s="76" t="s">
        <v>159</v>
      </c>
      <c r="C22" s="77" t="s">
        <v>150</v>
      </c>
      <c r="D22" s="41">
        <v>6</v>
      </c>
      <c r="E22" s="78">
        <v>378</v>
      </c>
      <c r="F22" s="78">
        <v>64</v>
      </c>
      <c r="G22" s="79">
        <v>173177.12015668923</v>
      </c>
      <c r="H22" s="79">
        <v>109114.27619794433</v>
      </c>
      <c r="I22" s="79">
        <v>42118.566047006767</v>
      </c>
      <c r="J22" s="79">
        <v>109114.27619794433</v>
      </c>
      <c r="K22" s="79">
        <v>0</v>
      </c>
      <c r="L22" s="79">
        <v>81577.320156689224</v>
      </c>
      <c r="M22" s="79">
        <v>59319.676384927567</v>
      </c>
      <c r="N22" s="79">
        <v>0</v>
      </c>
      <c r="O22" s="79">
        <v>0</v>
      </c>
      <c r="P22" s="79">
        <v>0</v>
      </c>
      <c r="Q22" s="79"/>
      <c r="R22" s="79">
        <v>69375.836746740591</v>
      </c>
      <c r="S22" s="79">
        <v>54629.386746740587</v>
      </c>
      <c r="T22" s="79">
        <v>97917.473493481171</v>
      </c>
      <c r="U22" s="79">
        <v>109114.27619794433</v>
      </c>
      <c r="V22" s="79">
        <v>109114.27619794433</v>
      </c>
      <c r="W22" s="79">
        <v>109114.27619794433</v>
      </c>
      <c r="X22" s="79">
        <v>109114.27619794433</v>
      </c>
      <c r="Y22" s="79">
        <v>0</v>
      </c>
      <c r="Z22" s="79"/>
      <c r="AA22" s="79">
        <v>0</v>
      </c>
      <c r="AB22" s="79">
        <v>0</v>
      </c>
      <c r="AC22" s="79">
        <v>872914.20958355465</v>
      </c>
      <c r="AD22" s="79">
        <v>275221.01107942057</v>
      </c>
      <c r="AE22" s="79">
        <v>0</v>
      </c>
      <c r="AF22" s="79">
        <v>0</v>
      </c>
      <c r="AG22" s="79">
        <v>218228.55239588866</v>
      </c>
      <c r="AH22" s="79">
        <v>68805.252769855142</v>
      </c>
      <c r="AI22" s="79">
        <v>218228.55239588866</v>
      </c>
      <c r="AJ22" s="79">
        <v>218228.55239588866</v>
      </c>
      <c r="AK22" s="79">
        <v>218228.55239588866</v>
      </c>
      <c r="AL22" s="79">
        <v>109114.27619794433</v>
      </c>
      <c r="AM22" s="79">
        <v>109114.27619794433</v>
      </c>
      <c r="AN22" s="79">
        <v>130937.13143753319</v>
      </c>
      <c r="AO22" s="79">
        <v>163671.41429691651</v>
      </c>
      <c r="AP22" s="79">
        <v>109114.27619794433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/>
      <c r="AW22" s="79">
        <v>0</v>
      </c>
      <c r="AX22" s="79">
        <v>109114.27619794433</v>
      </c>
      <c r="AY22" s="79">
        <v>109114.27619794433</v>
      </c>
      <c r="AZ22" s="79">
        <v>327342.82859383302</v>
      </c>
      <c r="BA22" s="79">
        <v>0</v>
      </c>
      <c r="BB22" s="79">
        <v>0</v>
      </c>
      <c r="BC22" s="79">
        <v>0</v>
      </c>
      <c r="BD22" s="79">
        <v>49597.398271792874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/>
      <c r="BK22" s="79">
        <v>0</v>
      </c>
      <c r="BL22" s="79"/>
      <c r="BM22" s="79">
        <v>0</v>
      </c>
      <c r="BN22" s="79">
        <v>0</v>
      </c>
      <c r="BO22" s="79">
        <v>9125</v>
      </c>
      <c r="BP22" s="79">
        <v>0</v>
      </c>
      <c r="BQ22" s="79">
        <v>0</v>
      </c>
      <c r="BR22" s="79">
        <v>0</v>
      </c>
      <c r="BS22" s="79">
        <v>0</v>
      </c>
      <c r="BT22" s="79">
        <v>0</v>
      </c>
      <c r="BU22" s="79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79">
        <v>0</v>
      </c>
      <c r="CE22" s="79">
        <v>0</v>
      </c>
      <c r="CF22" s="79">
        <v>0</v>
      </c>
      <c r="CG22" s="79">
        <v>0</v>
      </c>
      <c r="CH22" s="79">
        <v>0</v>
      </c>
      <c r="CI22" s="79">
        <v>218228.55239588866</v>
      </c>
      <c r="CJ22" s="79">
        <v>0</v>
      </c>
      <c r="CK22" s="79">
        <v>23000</v>
      </c>
      <c r="CL22" s="79">
        <v>5000</v>
      </c>
      <c r="CM22" s="79">
        <v>162248.4</v>
      </c>
      <c r="CN22" s="79">
        <v>100000</v>
      </c>
      <c r="CO22" s="79">
        <v>0</v>
      </c>
      <c r="CP22" s="79">
        <v>0</v>
      </c>
      <c r="CQ22" s="79">
        <v>0</v>
      </c>
      <c r="CR22" s="79">
        <v>72000</v>
      </c>
      <c r="CS22" s="79">
        <v>22195.4</v>
      </c>
      <c r="CT22" s="79"/>
      <c r="CU22" s="79">
        <v>0</v>
      </c>
      <c r="CV22" s="79"/>
      <c r="CW22" s="79">
        <v>0</v>
      </c>
      <c r="CX22" s="79">
        <v>0</v>
      </c>
      <c r="CY22" s="79">
        <v>0</v>
      </c>
      <c r="CZ22" s="79">
        <v>0</v>
      </c>
      <c r="DA22" s="79">
        <v>37800</v>
      </c>
      <c r="DB22" s="79">
        <v>79373.071257344389</v>
      </c>
      <c r="DC22" s="82">
        <v>0</v>
      </c>
      <c r="DD22" s="79">
        <v>0</v>
      </c>
      <c r="DE22" s="79"/>
      <c r="DF22" s="79">
        <v>6400</v>
      </c>
      <c r="DG22" s="79">
        <v>0</v>
      </c>
      <c r="DH22" s="83">
        <v>0</v>
      </c>
      <c r="DI22" s="79">
        <v>13955.413484601471</v>
      </c>
      <c r="DJ22" s="79">
        <v>5275146.2971793562</v>
      </c>
      <c r="DK22" s="84">
        <v>2.8206435963511467E-3</v>
      </c>
      <c r="DL22" s="84">
        <v>0</v>
      </c>
      <c r="DM22" s="84">
        <f t="shared" si="16"/>
        <v>5275146.3</v>
      </c>
      <c r="DN22" s="84">
        <f>'[7]FY20 Initial Budget Alloca FTE'!F22*DN$1</f>
        <v>140535.04000000001</v>
      </c>
      <c r="DO22" s="81">
        <f t="shared" si="0"/>
        <v>0</v>
      </c>
      <c r="DP22" s="81">
        <f t="shared" si="17"/>
        <v>78400</v>
      </c>
      <c r="DQ22" s="74">
        <f t="shared" si="18"/>
        <v>62135.040000000008</v>
      </c>
      <c r="DR22" s="85">
        <f t="shared" si="25"/>
        <v>0.44213201205905661</v>
      </c>
      <c r="DS22" s="81">
        <f t="shared" si="19"/>
        <v>4368069.0779178422</v>
      </c>
      <c r="DT22" s="81">
        <f t="shared" si="1"/>
        <v>545571.38098972174</v>
      </c>
      <c r="DU22" s="81">
        <f t="shared" si="2"/>
        <v>49597.398271792874</v>
      </c>
      <c r="DV22" s="81">
        <f t="shared" si="3"/>
        <v>9125</v>
      </c>
      <c r="DW22" s="81">
        <f t="shared" si="4"/>
        <v>0</v>
      </c>
      <c r="DX22" s="81">
        <f t="shared" si="5"/>
        <v>0</v>
      </c>
      <c r="DY22" s="81">
        <f t="shared" si="6"/>
        <v>0</v>
      </c>
      <c r="DZ22" s="81">
        <f t="shared" si="7"/>
        <v>162248.4</v>
      </c>
      <c r="EA22" s="74">
        <f t="shared" si="8"/>
        <v>62135.040000000008</v>
      </c>
      <c r="EB22" s="81">
        <f t="shared" si="9"/>
        <v>0</v>
      </c>
      <c r="EC22" s="81">
        <f t="shared" si="9"/>
        <v>78400</v>
      </c>
      <c r="ED22" s="86">
        <f t="shared" si="20"/>
        <v>0.44213201205905661</v>
      </c>
      <c r="EE22" s="81">
        <f t="shared" si="21"/>
        <v>140535.04000000001</v>
      </c>
      <c r="EF22" s="81">
        <f t="shared" si="22"/>
        <v>5275146.2971793571</v>
      </c>
      <c r="EG22" s="81">
        <f t="shared" si="10"/>
        <v>0</v>
      </c>
      <c r="EH22" s="81">
        <v>4213748.2717231093</v>
      </c>
      <c r="EI22" s="84">
        <f t="shared" si="28"/>
        <v>5112897.8971793558</v>
      </c>
      <c r="EJ22" s="74">
        <f t="shared" si="12"/>
        <v>1061398.0254562469</v>
      </c>
      <c r="EK22" s="74">
        <f t="shared" si="13"/>
        <v>899149.62545624655</v>
      </c>
      <c r="EM22" s="88">
        <f t="shared" si="14"/>
        <v>378</v>
      </c>
      <c r="EN22" s="74">
        <v>384</v>
      </c>
      <c r="EO22" s="74">
        <f t="shared" si="15"/>
        <v>-6</v>
      </c>
      <c r="EP22" s="72">
        <v>362</v>
      </c>
      <c r="EQ22" s="74">
        <f t="shared" si="23"/>
        <v>-22</v>
      </c>
      <c r="ER22" s="72">
        <v>381</v>
      </c>
      <c r="ES22" s="74">
        <f t="shared" si="24"/>
        <v>-3</v>
      </c>
      <c r="ET22" s="74"/>
      <c r="EU22" s="74"/>
      <c r="EV22" s="74"/>
      <c r="EW22" s="89"/>
      <c r="EX22" s="81">
        <f t="shared" si="26"/>
        <v>4758004.425922011</v>
      </c>
      <c r="EY22" s="81">
        <f t="shared" si="27"/>
        <v>517141.87125734444</v>
      </c>
    </row>
    <row r="23" spans="1:155" x14ac:dyDescent="0.25">
      <c r="A23" s="76">
        <v>454</v>
      </c>
      <c r="B23" s="76" t="s">
        <v>160</v>
      </c>
      <c r="C23" s="77" t="s">
        <v>161</v>
      </c>
      <c r="D23" s="41">
        <v>1</v>
      </c>
      <c r="E23" s="78">
        <v>757</v>
      </c>
      <c r="F23" s="78">
        <v>629.5346197502837</v>
      </c>
      <c r="G23" s="79">
        <v>173177.12015668923</v>
      </c>
      <c r="H23" s="79">
        <v>109114.27619794433</v>
      </c>
      <c r="I23" s="79">
        <v>350988.05039172305</v>
      </c>
      <c r="J23" s="79">
        <v>109114.27619794433</v>
      </c>
      <c r="K23" s="79">
        <v>297226.48153239809</v>
      </c>
      <c r="L23" s="79">
        <v>81577.320156689224</v>
      </c>
      <c r="M23" s="79">
        <v>59319.676384927567</v>
      </c>
      <c r="N23" s="79">
        <v>84807.120131362375</v>
      </c>
      <c r="O23" s="79">
        <v>50130.026384927565</v>
      </c>
      <c r="P23" s="79">
        <v>62573.586746740584</v>
      </c>
      <c r="Q23" s="79"/>
      <c r="R23" s="79">
        <v>69375.836746740591</v>
      </c>
      <c r="S23" s="79">
        <v>54629.386746740587</v>
      </c>
      <c r="T23" s="79">
        <v>391669.89397392469</v>
      </c>
      <c r="U23" s="79">
        <v>109114.27619794433</v>
      </c>
      <c r="V23" s="79">
        <v>0</v>
      </c>
      <c r="W23" s="79">
        <v>0</v>
      </c>
      <c r="X23" s="79">
        <v>0</v>
      </c>
      <c r="Y23" s="79">
        <v>0</v>
      </c>
      <c r="Z23" s="79"/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261874.26287506637</v>
      </c>
      <c r="AO23" s="79">
        <v>305519.97335424408</v>
      </c>
      <c r="AP23" s="79">
        <v>392811.39431259962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f>AN128/24*AV$121</f>
        <v>2561457.6337467427</v>
      </c>
      <c r="AW23" s="79">
        <f>3226164.47453216-AV23</f>
        <v>664706.84078541724</v>
      </c>
      <c r="AX23" s="79">
        <v>109114.27619794433</v>
      </c>
      <c r="AY23" s="79">
        <v>872914.20958355465</v>
      </c>
      <c r="AZ23" s="79">
        <v>2073171.2477609422</v>
      </c>
      <c r="BA23" s="79">
        <v>481636.76938898599</v>
      </c>
      <c r="BB23" s="79">
        <v>96126.952769855139</v>
      </c>
      <c r="BC23" s="79">
        <v>0</v>
      </c>
      <c r="BD23" s="79">
        <v>1964056.9715629979</v>
      </c>
      <c r="BE23" s="79">
        <v>68805.252769855142</v>
      </c>
      <c r="BF23" s="79">
        <v>356671.77783887769</v>
      </c>
      <c r="BG23" s="79">
        <v>0</v>
      </c>
      <c r="BH23" s="79">
        <v>0</v>
      </c>
      <c r="BI23" s="79">
        <v>0</v>
      </c>
      <c r="BJ23" s="79"/>
      <c r="BK23" s="79">
        <v>70000</v>
      </c>
      <c r="BL23" s="79"/>
      <c r="BM23" s="79">
        <v>374606.64</v>
      </c>
      <c r="BN23" s="79">
        <v>5960.96</v>
      </c>
      <c r="BO23" s="79">
        <v>0</v>
      </c>
      <c r="BP23" s="79">
        <v>0</v>
      </c>
      <c r="BQ23" s="79">
        <v>0</v>
      </c>
      <c r="BR23" s="79">
        <v>140395.22015668923</v>
      </c>
      <c r="BS23" s="79">
        <v>0</v>
      </c>
      <c r="BT23" s="79">
        <v>0</v>
      </c>
      <c r="BU23" s="79">
        <v>0</v>
      </c>
      <c r="BV23" s="80">
        <v>140395.22015668923</v>
      </c>
      <c r="BW23" s="80">
        <v>20000</v>
      </c>
      <c r="BX23" s="80">
        <v>19000</v>
      </c>
      <c r="BY23" s="80">
        <v>0</v>
      </c>
      <c r="BZ23" s="80">
        <v>0</v>
      </c>
      <c r="CA23" s="80">
        <v>0</v>
      </c>
      <c r="CB23" s="80">
        <v>0</v>
      </c>
      <c r="CC23" s="80">
        <v>23700</v>
      </c>
      <c r="CD23" s="79">
        <v>218228.55239588866</v>
      </c>
      <c r="CE23" s="79">
        <v>0</v>
      </c>
      <c r="CF23" s="79">
        <v>0</v>
      </c>
      <c r="CG23" s="79">
        <v>0</v>
      </c>
      <c r="CH23" s="79">
        <v>109114.27619794433</v>
      </c>
      <c r="CI23" s="79">
        <v>218228.55239588866</v>
      </c>
      <c r="CJ23" s="79">
        <v>0</v>
      </c>
      <c r="CK23" s="79">
        <v>23000</v>
      </c>
      <c r="CL23" s="79">
        <v>5000</v>
      </c>
      <c r="CM23" s="79">
        <v>817540.8</v>
      </c>
      <c r="CN23" s="79">
        <v>100000</v>
      </c>
      <c r="CO23" s="79">
        <v>105202</v>
      </c>
      <c r="CP23" s="79">
        <v>75000</v>
      </c>
      <c r="CQ23" s="79">
        <v>25181.384790011347</v>
      </c>
      <c r="CR23" s="79">
        <v>46440</v>
      </c>
      <c r="CS23" s="79">
        <v>95592.153738317764</v>
      </c>
      <c r="CT23" s="79"/>
      <c r="CU23" s="79">
        <v>105202</v>
      </c>
      <c r="CV23" s="79"/>
      <c r="CW23" s="79">
        <v>0</v>
      </c>
      <c r="CX23" s="79">
        <v>0</v>
      </c>
      <c r="CY23" s="79">
        <v>5000</v>
      </c>
      <c r="CZ23" s="91">
        <v>115407</v>
      </c>
      <c r="DA23" s="79">
        <v>75700</v>
      </c>
      <c r="DB23" s="79">
        <v>209883.8977282733</v>
      </c>
      <c r="DC23" s="82">
        <v>0</v>
      </c>
      <c r="DD23" s="79">
        <v>0</v>
      </c>
      <c r="DE23" s="79"/>
      <c r="DF23" s="79">
        <v>77700</v>
      </c>
      <c r="DG23" s="79">
        <v>0</v>
      </c>
      <c r="DH23" s="83">
        <v>0</v>
      </c>
      <c r="DI23" s="79">
        <v>20395.582922398335</v>
      </c>
      <c r="DJ23" s="79">
        <v>15433163.548453493</v>
      </c>
      <c r="DK23" s="84">
        <v>6292.7215465065092</v>
      </c>
      <c r="DL23" s="84">
        <v>0</v>
      </c>
      <c r="DM23" s="84">
        <f t="shared" si="16"/>
        <v>15439456.27</v>
      </c>
      <c r="DN23" s="84">
        <f>'[7]FY20 Initial Budget Alloca FTE'!F23*DN$1</f>
        <v>1382369.8901248581</v>
      </c>
      <c r="DO23" s="81">
        <f t="shared" si="0"/>
        <v>70000</v>
      </c>
      <c r="DP23" s="81">
        <f t="shared" si="17"/>
        <v>1337720.665888807</v>
      </c>
      <c r="DQ23" s="74">
        <f t="shared" si="18"/>
        <v>-25350.775763948914</v>
      </c>
      <c r="DR23" s="85">
        <f t="shared" si="25"/>
        <v>-1.8338634214362978E-2</v>
      </c>
      <c r="DS23" s="81">
        <f t="shared" si="19"/>
        <v>6830187.8004556112</v>
      </c>
      <c r="DT23" s="81">
        <f t="shared" si="1"/>
        <v>3632963.4557012822</v>
      </c>
      <c r="DU23" s="81">
        <f t="shared" si="2"/>
        <v>2389534.0021717306</v>
      </c>
      <c r="DV23" s="81">
        <f t="shared" si="3"/>
        <v>380567.60000000003</v>
      </c>
      <c r="DW23" s="81">
        <f t="shared" si="4"/>
        <v>0</v>
      </c>
      <c r="DX23" s="81">
        <f t="shared" si="5"/>
        <v>0</v>
      </c>
      <c r="DY23" s="81">
        <f t="shared" si="6"/>
        <v>0</v>
      </c>
      <c r="DZ23" s="81">
        <f t="shared" si="7"/>
        <v>817540.8</v>
      </c>
      <c r="EA23" s="74">
        <f t="shared" si="8"/>
        <v>-25350.775763948914</v>
      </c>
      <c r="EB23" s="81">
        <f t="shared" si="9"/>
        <v>70000</v>
      </c>
      <c r="EC23" s="81">
        <f t="shared" si="9"/>
        <v>1337720.665888807</v>
      </c>
      <c r="ED23" s="86">
        <v>0</v>
      </c>
      <c r="EE23" s="81">
        <f t="shared" si="21"/>
        <v>1382369.8901248581</v>
      </c>
      <c r="EF23" s="81">
        <f t="shared" si="22"/>
        <v>15433163.548453482</v>
      </c>
      <c r="EG23" s="81">
        <f t="shared" si="10"/>
        <v>0</v>
      </c>
      <c r="EH23" s="81">
        <v>14276758.691680001</v>
      </c>
      <c r="EI23" s="84">
        <f t="shared" si="28"/>
        <v>14615622.748453492</v>
      </c>
      <c r="EJ23" s="74">
        <f t="shared" si="12"/>
        <v>1156404.8567734919</v>
      </c>
      <c r="EK23" s="74">
        <f t="shared" si="13"/>
        <v>338864.0567734912</v>
      </c>
      <c r="EM23" s="88">
        <f t="shared" si="14"/>
        <v>757</v>
      </c>
      <c r="EN23" s="74">
        <v>770</v>
      </c>
      <c r="EO23" s="74">
        <f t="shared" si="15"/>
        <v>-13</v>
      </c>
      <c r="EP23" s="72">
        <v>746</v>
      </c>
      <c r="EQ23" s="74">
        <f t="shared" si="23"/>
        <v>-24</v>
      </c>
      <c r="ER23" s="72">
        <v>774</v>
      </c>
      <c r="ES23" s="74">
        <f t="shared" si="24"/>
        <v>-17</v>
      </c>
      <c r="ET23" s="74"/>
      <c r="EU23" s="74"/>
      <c r="EV23" s="74"/>
      <c r="EW23" s="89"/>
      <c r="EX23" s="81">
        <f t="shared" si="26"/>
        <v>13248450.712196887</v>
      </c>
      <c r="EY23" s="81">
        <f t="shared" si="27"/>
        <v>2184712.8362566028</v>
      </c>
    </row>
    <row r="24" spans="1:155" x14ac:dyDescent="0.25">
      <c r="A24" s="76">
        <v>224</v>
      </c>
      <c r="B24" s="76" t="s">
        <v>162</v>
      </c>
      <c r="C24" s="77" t="s">
        <v>135</v>
      </c>
      <c r="D24" s="41">
        <v>1</v>
      </c>
      <c r="E24" s="78">
        <v>300</v>
      </c>
      <c r="F24" s="78">
        <v>154.45871559633025</v>
      </c>
      <c r="G24" s="79">
        <v>173177.12015668923</v>
      </c>
      <c r="H24" s="79">
        <v>109114.27619794433</v>
      </c>
      <c r="I24" s="79">
        <v>112316.1761253514</v>
      </c>
      <c r="J24" s="79">
        <v>0</v>
      </c>
      <c r="K24" s="79">
        <v>0</v>
      </c>
      <c r="L24" s="79">
        <v>81577.320156689224</v>
      </c>
      <c r="M24" s="79">
        <v>59319.676384927567</v>
      </c>
      <c r="N24" s="79">
        <v>0</v>
      </c>
      <c r="O24" s="79">
        <v>0</v>
      </c>
      <c r="P24" s="79">
        <v>0</v>
      </c>
      <c r="Q24" s="79"/>
      <c r="R24" s="79">
        <v>69375.836746740591</v>
      </c>
      <c r="S24" s="79">
        <v>54629.386746740587</v>
      </c>
      <c r="T24" s="79">
        <v>48958.736746740586</v>
      </c>
      <c r="U24" s="79">
        <v>109114.27619794433</v>
      </c>
      <c r="V24" s="79">
        <v>109114.27619794433</v>
      </c>
      <c r="W24" s="79">
        <v>109114.27619794433</v>
      </c>
      <c r="X24" s="79">
        <v>109114.27619794433</v>
      </c>
      <c r="Y24" s="79">
        <f>163671.414296917-Z24</f>
        <v>4.9476511776447296E-10</v>
      </c>
      <c r="Z24" s="79">
        <f>1.5*Z$121</f>
        <v>163671.41429691651</v>
      </c>
      <c r="AA24" s="79">
        <v>218228.55239588866</v>
      </c>
      <c r="AB24" s="79">
        <v>68805.252769855142</v>
      </c>
      <c r="AC24" s="79">
        <v>109114.27619794433</v>
      </c>
      <c r="AD24" s="79">
        <v>68805.252769855142</v>
      </c>
      <c r="AE24" s="79">
        <v>218228.55239588866</v>
      </c>
      <c r="AF24" s="79">
        <v>68805.252769855142</v>
      </c>
      <c r="AG24" s="79">
        <v>218228.55239588866</v>
      </c>
      <c r="AH24" s="79">
        <v>68805.252769855142</v>
      </c>
      <c r="AI24" s="79">
        <v>218228.55239588866</v>
      </c>
      <c r="AJ24" s="79">
        <v>218228.55239588866</v>
      </c>
      <c r="AK24" s="79">
        <v>218228.55239588866</v>
      </c>
      <c r="AL24" s="79">
        <v>218228.55239588866</v>
      </c>
      <c r="AM24" s="79">
        <v>218228.55239588866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/>
      <c r="AW24" s="79">
        <v>0</v>
      </c>
      <c r="AX24" s="79">
        <v>54557.138098972166</v>
      </c>
      <c r="AY24" s="79">
        <v>218228.55239588866</v>
      </c>
      <c r="AZ24" s="79">
        <v>436457.10479177732</v>
      </c>
      <c r="BA24" s="79">
        <v>34402.626384927571</v>
      </c>
      <c r="BB24" s="79">
        <v>48063.47638492757</v>
      </c>
      <c r="BC24" s="79">
        <v>0</v>
      </c>
      <c r="BD24" s="79">
        <v>327342.82859383302</v>
      </c>
      <c r="BE24" s="79">
        <v>0</v>
      </c>
      <c r="BF24" s="79">
        <v>0</v>
      </c>
      <c r="BG24" s="79">
        <f>35916-BL24</f>
        <v>12721.8</v>
      </c>
      <c r="BH24" s="79">
        <v>33672</v>
      </c>
      <c r="BI24" s="79">
        <v>6734</v>
      </c>
      <c r="BJ24" s="79"/>
      <c r="BK24" s="79">
        <v>0</v>
      </c>
      <c r="BL24" s="79">
        <v>23194.2</v>
      </c>
      <c r="BM24" s="79">
        <v>150698.35999999999</v>
      </c>
      <c r="BN24" s="79">
        <v>2398</v>
      </c>
      <c r="BO24" s="79">
        <v>0</v>
      </c>
      <c r="BP24" s="79">
        <v>0</v>
      </c>
      <c r="BQ24" s="79">
        <v>0</v>
      </c>
      <c r="BR24" s="79">
        <v>0</v>
      </c>
      <c r="BS24" s="79">
        <v>0</v>
      </c>
      <c r="BT24" s="79">
        <v>0</v>
      </c>
      <c r="BU24" s="79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79">
        <v>0</v>
      </c>
      <c r="CE24" s="79">
        <v>0</v>
      </c>
      <c r="CF24" s="79">
        <v>0</v>
      </c>
      <c r="CG24" s="79">
        <v>0</v>
      </c>
      <c r="CH24" s="79">
        <v>0</v>
      </c>
      <c r="CI24" s="79">
        <v>0</v>
      </c>
      <c r="CJ24" s="79">
        <v>0</v>
      </c>
      <c r="CK24" s="79">
        <v>0</v>
      </c>
      <c r="CL24" s="79">
        <v>0</v>
      </c>
      <c r="CM24" s="79">
        <v>54082.8</v>
      </c>
      <c r="CN24" s="79">
        <v>0</v>
      </c>
      <c r="CO24" s="79">
        <v>0</v>
      </c>
      <c r="CP24" s="79">
        <v>0</v>
      </c>
      <c r="CQ24" s="79">
        <v>3089.1743119266048</v>
      </c>
      <c r="CR24" s="79">
        <v>0</v>
      </c>
      <c r="CS24" s="79">
        <v>17390.375</v>
      </c>
      <c r="CT24" s="79"/>
      <c r="CU24" s="79">
        <v>0</v>
      </c>
      <c r="CV24" s="79"/>
      <c r="CW24" s="79">
        <v>0</v>
      </c>
      <c r="CX24" s="79">
        <v>0</v>
      </c>
      <c r="CY24" s="79">
        <v>0</v>
      </c>
      <c r="CZ24" s="79">
        <v>0</v>
      </c>
      <c r="DA24" s="79">
        <v>30000</v>
      </c>
      <c r="DB24" s="79">
        <v>73380.780951269626</v>
      </c>
      <c r="DC24" s="82">
        <v>0</v>
      </c>
      <c r="DD24" s="79">
        <v>0</v>
      </c>
      <c r="DE24" s="79"/>
      <c r="DF24" s="79">
        <v>8800</v>
      </c>
      <c r="DG24" s="79">
        <v>0</v>
      </c>
      <c r="DH24" s="83">
        <v>0</v>
      </c>
      <c r="DI24" s="79">
        <v>16579.913239028381</v>
      </c>
      <c r="DJ24" s="79">
        <v>4973973.9717085147</v>
      </c>
      <c r="DK24" s="84">
        <v>34403.028291485272</v>
      </c>
      <c r="DL24" s="84">
        <v>0</v>
      </c>
      <c r="DM24" s="84">
        <f t="shared" si="16"/>
        <v>5008377</v>
      </c>
      <c r="DN24" s="84">
        <f>'[7]FY20 Initial Budget Alloca FTE'!F24*DN$1</f>
        <v>339169.71522935777</v>
      </c>
      <c r="DO24" s="81">
        <f t="shared" si="0"/>
        <v>53127.8</v>
      </c>
      <c r="DP24" s="81">
        <f t="shared" si="17"/>
        <v>175560.58860884313</v>
      </c>
      <c r="DQ24" s="74">
        <f t="shared" si="18"/>
        <v>110481.32662051464</v>
      </c>
      <c r="DR24" s="85">
        <f t="shared" si="25"/>
        <v>0.32574054126797114</v>
      </c>
      <c r="DS24" s="81">
        <f t="shared" si="19"/>
        <v>3285379.1698288298</v>
      </c>
      <c r="DT24" s="81">
        <f t="shared" si="1"/>
        <v>791708.89805649326</v>
      </c>
      <c r="DU24" s="81">
        <f t="shared" si="2"/>
        <v>327342.82859383302</v>
      </c>
      <c r="DV24" s="81">
        <f t="shared" si="3"/>
        <v>176290.56</v>
      </c>
      <c r="DW24" s="81">
        <f t="shared" si="4"/>
        <v>0</v>
      </c>
      <c r="DX24" s="81">
        <f t="shared" si="5"/>
        <v>0</v>
      </c>
      <c r="DY24" s="81">
        <f t="shared" si="6"/>
        <v>0</v>
      </c>
      <c r="DZ24" s="81">
        <f t="shared" si="7"/>
        <v>54082.8</v>
      </c>
      <c r="EA24" s="74">
        <f t="shared" si="8"/>
        <v>110481.32662051464</v>
      </c>
      <c r="EB24" s="81">
        <f t="shared" si="9"/>
        <v>53127.8</v>
      </c>
      <c r="EC24" s="81">
        <f t="shared" si="9"/>
        <v>175560.58860884313</v>
      </c>
      <c r="ED24" s="86">
        <f t="shared" si="20"/>
        <v>0.32574054126797114</v>
      </c>
      <c r="EE24" s="81">
        <f t="shared" si="21"/>
        <v>339169.71522935777</v>
      </c>
      <c r="EF24" s="81">
        <f t="shared" si="22"/>
        <v>4973973.9717085129</v>
      </c>
      <c r="EG24" s="81">
        <f t="shared" si="10"/>
        <v>0</v>
      </c>
      <c r="EH24" s="81">
        <v>4821855.9618824786</v>
      </c>
      <c r="EI24" s="84">
        <f t="shared" si="28"/>
        <v>4919891.1717085149</v>
      </c>
      <c r="EJ24" s="74">
        <f t="shared" si="12"/>
        <v>152118.00982603617</v>
      </c>
      <c r="EK24" s="74">
        <f t="shared" si="13"/>
        <v>98035.209826036356</v>
      </c>
      <c r="EM24" s="88">
        <f t="shared" si="14"/>
        <v>300</v>
      </c>
      <c r="EN24" s="74">
        <v>316</v>
      </c>
      <c r="EO24" s="74">
        <f t="shared" si="15"/>
        <v>-16</v>
      </c>
      <c r="EP24" s="72">
        <v>304</v>
      </c>
      <c r="EQ24" s="74">
        <f t="shared" si="23"/>
        <v>-12</v>
      </c>
      <c r="ER24" s="72">
        <v>336</v>
      </c>
      <c r="ES24" s="74">
        <f t="shared" si="24"/>
        <v>-36</v>
      </c>
      <c r="ET24" s="74"/>
      <c r="EU24" s="74"/>
      <c r="EV24" s="74"/>
      <c r="EW24" s="89"/>
      <c r="EX24" s="81">
        <f t="shared" si="26"/>
        <v>4610940.2814453179</v>
      </c>
      <c r="EY24" s="81">
        <f t="shared" si="27"/>
        <v>363033.69026319619</v>
      </c>
    </row>
    <row r="25" spans="1:155" x14ac:dyDescent="0.25">
      <c r="A25" s="76">
        <v>442</v>
      </c>
      <c r="B25" s="76" t="s">
        <v>163</v>
      </c>
      <c r="C25" s="77" t="s">
        <v>161</v>
      </c>
      <c r="D25" s="41">
        <v>1</v>
      </c>
      <c r="E25" s="78">
        <v>1372</v>
      </c>
      <c r="F25" s="78">
        <v>890.5532523230878</v>
      </c>
      <c r="G25" s="79">
        <v>173177.12015668923</v>
      </c>
      <c r="H25" s="79">
        <v>109114.27619794433</v>
      </c>
      <c r="I25" s="79">
        <v>645818.01272077044</v>
      </c>
      <c r="J25" s="79">
        <v>109114.27619794433</v>
      </c>
      <c r="K25" s="79">
        <v>475562.3704518369</v>
      </c>
      <c r="L25" s="79">
        <v>81577.320156689224</v>
      </c>
      <c r="M25" s="79">
        <v>59319.676384927567</v>
      </c>
      <c r="N25" s="79">
        <v>151760.10970875373</v>
      </c>
      <c r="O25" s="79">
        <v>50130.026384927565</v>
      </c>
      <c r="P25" s="79">
        <v>62573.586746740584</v>
      </c>
      <c r="Q25" s="79"/>
      <c r="R25" s="79">
        <v>69375.836746740591</v>
      </c>
      <c r="S25" s="79">
        <v>54629.386746740587</v>
      </c>
      <c r="T25" s="79">
        <v>440628.63072066527</v>
      </c>
      <c r="U25" s="79">
        <v>109114.27619794433</v>
      </c>
      <c r="V25" s="79">
        <v>0</v>
      </c>
      <c r="W25" s="79">
        <v>0</v>
      </c>
      <c r="X25" s="79">
        <v>0</v>
      </c>
      <c r="Y25" s="79">
        <v>0</v>
      </c>
      <c r="Z25" s="79"/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654685.65718766605</v>
      </c>
      <c r="AO25" s="79">
        <v>774711.36100540473</v>
      </c>
      <c r="AP25" s="79">
        <v>632862.80194807705</v>
      </c>
      <c r="AQ25" s="79">
        <v>1363928.4524743042</v>
      </c>
      <c r="AR25" s="79">
        <v>1254814.1762763597</v>
      </c>
      <c r="AS25" s="79">
        <v>840179.92672417138</v>
      </c>
      <c r="AT25" s="79">
        <v>883825.63720334903</v>
      </c>
      <c r="AU25" s="79">
        <v>0</v>
      </c>
      <c r="AV25" s="79"/>
      <c r="AW25" s="82">
        <v>0</v>
      </c>
      <c r="AX25" s="79">
        <v>109114.27619794433</v>
      </c>
      <c r="AY25" s="79">
        <v>436457.10479177732</v>
      </c>
      <c r="AZ25" s="79">
        <v>1527599.8667712207</v>
      </c>
      <c r="BA25" s="79">
        <v>68805.252769855142</v>
      </c>
      <c r="BB25" s="79">
        <v>0</v>
      </c>
      <c r="BC25" s="79">
        <v>0</v>
      </c>
      <c r="BD25" s="79">
        <v>2400514.0763547751</v>
      </c>
      <c r="BE25" s="79">
        <v>68805.252769855142</v>
      </c>
      <c r="BF25" s="79">
        <v>475562.3704518369</v>
      </c>
      <c r="BG25" s="79">
        <v>0</v>
      </c>
      <c r="BH25" s="79">
        <v>0</v>
      </c>
      <c r="BI25" s="79">
        <v>0</v>
      </c>
      <c r="BJ25" s="79"/>
      <c r="BK25" s="79">
        <v>85000</v>
      </c>
      <c r="BL25" s="79"/>
      <c r="BM25" s="79">
        <v>410080.26</v>
      </c>
      <c r="BN25" s="79">
        <v>6525.44</v>
      </c>
      <c r="BO25" s="79">
        <v>0</v>
      </c>
      <c r="BP25" s="79">
        <v>0</v>
      </c>
      <c r="BQ25" s="79">
        <v>0</v>
      </c>
      <c r="BR25" s="79">
        <v>0</v>
      </c>
      <c r="BS25" s="79">
        <v>0</v>
      </c>
      <c r="BT25" s="79">
        <v>0</v>
      </c>
      <c r="BU25" s="79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45000</v>
      </c>
      <c r="CA25" s="80">
        <v>0</v>
      </c>
      <c r="CB25" s="80">
        <v>0</v>
      </c>
      <c r="CC25" s="80">
        <v>23700</v>
      </c>
      <c r="CD25" s="79">
        <v>218228.55239588866</v>
      </c>
      <c r="CE25" s="79">
        <v>0</v>
      </c>
      <c r="CF25" s="79">
        <v>128098.27015668922</v>
      </c>
      <c r="CG25" s="79">
        <v>105202</v>
      </c>
      <c r="CH25" s="79">
        <v>0</v>
      </c>
      <c r="CI25" s="79">
        <v>327342.82859383302</v>
      </c>
      <c r="CJ25" s="79">
        <v>0</v>
      </c>
      <c r="CK25" s="79">
        <v>23000</v>
      </c>
      <c r="CL25" s="79">
        <v>5000</v>
      </c>
      <c r="CM25" s="79">
        <v>749937.3</v>
      </c>
      <c r="CN25" s="79">
        <v>100000</v>
      </c>
      <c r="CO25" s="79">
        <v>105202</v>
      </c>
      <c r="CP25" s="79">
        <v>0</v>
      </c>
      <c r="CQ25" s="79">
        <v>17811.065046461757</v>
      </c>
      <c r="CR25" s="79">
        <v>316080</v>
      </c>
      <c r="CS25" s="79">
        <v>158284.08620000002</v>
      </c>
      <c r="CT25" s="79"/>
      <c r="CU25" s="79">
        <v>105202</v>
      </c>
      <c r="CV25" s="79"/>
      <c r="CW25" s="79">
        <v>0</v>
      </c>
      <c r="CX25" s="79">
        <v>0</v>
      </c>
      <c r="CY25" s="79">
        <v>0</v>
      </c>
      <c r="CZ25" s="79">
        <v>0</v>
      </c>
      <c r="DA25" s="79">
        <v>137200</v>
      </c>
      <c r="DB25" s="79">
        <v>242105.1659473399</v>
      </c>
      <c r="DC25" s="82">
        <v>0</v>
      </c>
      <c r="DD25" s="79">
        <v>360000</v>
      </c>
      <c r="DE25" s="79"/>
      <c r="DF25" s="79">
        <v>71100</v>
      </c>
      <c r="DG25" s="79">
        <v>0</v>
      </c>
      <c r="DH25" s="83">
        <v>0</v>
      </c>
      <c r="DI25" s="79">
        <v>12991.151666753736</v>
      </c>
      <c r="DJ25" s="79">
        <v>17823860.086786129</v>
      </c>
      <c r="DK25" s="84">
        <v>218228.91321387142</v>
      </c>
      <c r="DL25" s="84">
        <v>0</v>
      </c>
      <c r="DM25" s="84">
        <f t="shared" si="16"/>
        <v>18042089</v>
      </c>
      <c r="DN25" s="84">
        <f>'[7]FY20 Initial Budget Alloca FTE'!F25*DN$1</f>
        <v>1955530.2646461758</v>
      </c>
      <c r="DO25" s="81">
        <f t="shared" si="0"/>
        <v>85000</v>
      </c>
      <c r="DP25" s="81">
        <f t="shared" si="17"/>
        <v>767193.33520315099</v>
      </c>
      <c r="DQ25" s="74">
        <f t="shared" si="18"/>
        <v>1103336.9294430248</v>
      </c>
      <c r="DR25" s="85">
        <f t="shared" si="25"/>
        <v>0.56421368126596461</v>
      </c>
      <c r="DS25" s="81">
        <f t="shared" si="19"/>
        <v>9209928.6220326871</v>
      </c>
      <c r="DT25" s="81">
        <f t="shared" si="1"/>
        <v>2141976.5005307975</v>
      </c>
      <c r="DU25" s="81">
        <f t="shared" si="2"/>
        <v>2944881.6995764673</v>
      </c>
      <c r="DV25" s="81">
        <f t="shared" si="3"/>
        <v>461605.7</v>
      </c>
      <c r="DW25" s="81">
        <f t="shared" si="4"/>
        <v>360000</v>
      </c>
      <c r="DX25" s="81">
        <f t="shared" si="5"/>
        <v>0</v>
      </c>
      <c r="DY25" s="81">
        <f t="shared" si="6"/>
        <v>0</v>
      </c>
      <c r="DZ25" s="81">
        <f t="shared" si="7"/>
        <v>749937.3</v>
      </c>
      <c r="EA25" s="74">
        <f t="shared" si="8"/>
        <v>1103336.9294430248</v>
      </c>
      <c r="EB25" s="81">
        <f t="shared" si="9"/>
        <v>85000</v>
      </c>
      <c r="EC25" s="81">
        <f t="shared" si="9"/>
        <v>767193.33520315099</v>
      </c>
      <c r="ED25" s="86">
        <f t="shared" si="20"/>
        <v>0.56421368126596461</v>
      </c>
      <c r="EE25" s="81">
        <f t="shared" si="21"/>
        <v>1955530.2646461758</v>
      </c>
      <c r="EF25" s="81">
        <f t="shared" si="22"/>
        <v>17823860.086786129</v>
      </c>
      <c r="EG25" s="81">
        <f t="shared" si="10"/>
        <v>0</v>
      </c>
      <c r="EH25" s="81">
        <v>15995827.804150004</v>
      </c>
      <c r="EI25" s="84">
        <f t="shared" si="28"/>
        <v>17073922.786786128</v>
      </c>
      <c r="EJ25" s="74">
        <f t="shared" si="12"/>
        <v>1828032.2826361246</v>
      </c>
      <c r="EK25" s="74">
        <f t="shared" si="13"/>
        <v>1078094.9826361239</v>
      </c>
      <c r="EM25" s="88">
        <f t="shared" si="14"/>
        <v>1372</v>
      </c>
      <c r="EN25" s="74">
        <v>1210</v>
      </c>
      <c r="EO25" s="74">
        <f t="shared" si="15"/>
        <v>162</v>
      </c>
      <c r="EP25" s="94">
        <v>1320</v>
      </c>
      <c r="EQ25" s="74">
        <f t="shared" si="23"/>
        <v>110</v>
      </c>
      <c r="ER25" s="72">
        <v>1212</v>
      </c>
      <c r="ES25" s="74">
        <f t="shared" si="24"/>
        <v>160</v>
      </c>
      <c r="ET25" s="74"/>
      <c r="EU25" s="74"/>
      <c r="EV25" s="74"/>
      <c r="EW25" s="89"/>
      <c r="EX25" s="81">
        <f t="shared" si="26"/>
        <v>15073036.769592326</v>
      </c>
      <c r="EY25" s="81">
        <f t="shared" si="27"/>
        <v>2750823.3171938015</v>
      </c>
    </row>
    <row r="26" spans="1:155" x14ac:dyDescent="0.25">
      <c r="A26" s="76">
        <v>455</v>
      </c>
      <c r="B26" s="76" t="s">
        <v>164</v>
      </c>
      <c r="C26" s="77" t="s">
        <v>138</v>
      </c>
      <c r="D26" s="41">
        <v>4</v>
      </c>
      <c r="E26" s="78">
        <v>400</v>
      </c>
      <c r="F26" s="78">
        <v>339.51912568306011</v>
      </c>
      <c r="G26" s="79">
        <v>173177.12015668923</v>
      </c>
      <c r="H26" s="79">
        <v>109114.27619794433</v>
      </c>
      <c r="I26" s="79">
        <v>182513.78620369601</v>
      </c>
      <c r="J26" s="79">
        <v>0</v>
      </c>
      <c r="K26" s="79">
        <v>237781.18522591845</v>
      </c>
      <c r="L26" s="79">
        <v>81577.320156689224</v>
      </c>
      <c r="M26" s="79">
        <v>59319.676384927567</v>
      </c>
      <c r="N26" s="79">
        <v>44635.326384927568</v>
      </c>
      <c r="O26" s="79">
        <v>50130.026384927565</v>
      </c>
      <c r="P26" s="79">
        <v>62573.586746740584</v>
      </c>
      <c r="Q26" s="79"/>
      <c r="R26" s="79">
        <v>69375.836746740591</v>
      </c>
      <c r="S26" s="79">
        <v>54629.386746740587</v>
      </c>
      <c r="T26" s="79">
        <v>293752.42048044351</v>
      </c>
      <c r="U26" s="79">
        <v>109114.27619794433</v>
      </c>
      <c r="V26" s="79">
        <v>0</v>
      </c>
      <c r="W26" s="79">
        <v>0</v>
      </c>
      <c r="X26" s="79">
        <v>0</v>
      </c>
      <c r="Y26" s="79">
        <v>0</v>
      </c>
      <c r="Z26" s="79"/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f>E26/24*AV$121</f>
        <v>1818571.269965739</v>
      </c>
      <c r="AW26" s="79">
        <f>2907829.10354244-AV26</f>
        <v>1089257.8335767011</v>
      </c>
      <c r="AX26" s="79">
        <v>109114.27619794433</v>
      </c>
      <c r="AY26" s="79">
        <v>327342.82859383302</v>
      </c>
      <c r="AZ26" s="79">
        <v>982028.48578149895</v>
      </c>
      <c r="BA26" s="79">
        <v>172013.13192463786</v>
      </c>
      <c r="BB26" s="79">
        <v>96126.952769855139</v>
      </c>
      <c r="BC26" s="79">
        <v>0</v>
      </c>
      <c r="BD26" s="79">
        <v>436457.10479177732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/>
      <c r="BK26" s="79">
        <v>70000</v>
      </c>
      <c r="BL26" s="79"/>
      <c r="BM26" s="79">
        <v>147370.63</v>
      </c>
      <c r="BN26" s="79">
        <v>2345.0500000000002</v>
      </c>
      <c r="BO26" s="79">
        <v>0</v>
      </c>
      <c r="BP26" s="79">
        <v>0</v>
      </c>
      <c r="BQ26" s="79">
        <v>0</v>
      </c>
      <c r="BR26" s="79">
        <v>0</v>
      </c>
      <c r="BS26" s="79">
        <v>0</v>
      </c>
      <c r="BT26" s="79">
        <v>0</v>
      </c>
      <c r="BU26" s="79">
        <v>0</v>
      </c>
      <c r="BV26" s="80">
        <v>140395.22015668923</v>
      </c>
      <c r="BW26" s="80">
        <v>20000</v>
      </c>
      <c r="BX26" s="80">
        <v>19000</v>
      </c>
      <c r="BY26" s="80">
        <v>0</v>
      </c>
      <c r="BZ26" s="80">
        <v>45000</v>
      </c>
      <c r="CA26" s="80">
        <v>0</v>
      </c>
      <c r="CB26" s="80">
        <v>0</v>
      </c>
      <c r="CC26" s="80">
        <v>23700</v>
      </c>
      <c r="CD26" s="79">
        <v>218228.55239588866</v>
      </c>
      <c r="CE26" s="79">
        <v>0</v>
      </c>
      <c r="CF26" s="79">
        <v>384294.81047006766</v>
      </c>
      <c r="CG26" s="79">
        <v>105202</v>
      </c>
      <c r="CH26" s="79">
        <v>0</v>
      </c>
      <c r="CI26" s="79">
        <v>0</v>
      </c>
      <c r="CJ26" s="79">
        <v>0</v>
      </c>
      <c r="CK26" s="79">
        <v>0</v>
      </c>
      <c r="CL26" s="79">
        <v>0</v>
      </c>
      <c r="CM26" s="79">
        <v>362651.6</v>
      </c>
      <c r="CN26" s="79">
        <v>0</v>
      </c>
      <c r="CO26" s="79">
        <v>105202</v>
      </c>
      <c r="CP26" s="79">
        <v>75000</v>
      </c>
      <c r="CQ26" s="79">
        <v>13580.765027322404</v>
      </c>
      <c r="CR26" s="79">
        <v>0</v>
      </c>
      <c r="CS26" s="79">
        <v>54630.570135746602</v>
      </c>
      <c r="CT26" s="79"/>
      <c r="CU26" s="79">
        <v>105202</v>
      </c>
      <c r="CV26" s="79"/>
      <c r="CW26" s="79">
        <v>0</v>
      </c>
      <c r="CX26" s="79">
        <v>0</v>
      </c>
      <c r="CY26" s="79">
        <v>0</v>
      </c>
      <c r="CZ26" s="79">
        <v>0</v>
      </c>
      <c r="DA26" s="79">
        <v>40000</v>
      </c>
      <c r="DB26" s="79">
        <v>108981.0627326227</v>
      </c>
      <c r="DC26" s="82">
        <v>0</v>
      </c>
      <c r="DD26" s="79">
        <v>0</v>
      </c>
      <c r="DE26" s="79"/>
      <c r="DF26" s="79">
        <v>15900</v>
      </c>
      <c r="DG26" s="79">
        <v>157864.82809897215</v>
      </c>
      <c r="DH26" s="83">
        <v>0</v>
      </c>
      <c r="DI26" s="79">
        <v>21932.887991584059</v>
      </c>
      <c r="DJ26" s="79">
        <v>8773155.1966336258</v>
      </c>
      <c r="DK26" s="84">
        <v>118890.80336637422</v>
      </c>
      <c r="DL26" s="84">
        <v>0</v>
      </c>
      <c r="DM26" s="84">
        <f t="shared" si="16"/>
        <v>8892046</v>
      </c>
      <c r="DN26" s="84">
        <f>'[7]FY20 Initial Budget Alloca FTE'!F26*DN$1</f>
        <v>745536.46732240438</v>
      </c>
      <c r="DO26" s="81">
        <f t="shared" si="0"/>
        <v>70000</v>
      </c>
      <c r="DP26" s="81">
        <f t="shared" si="17"/>
        <v>1991532.6292307803</v>
      </c>
      <c r="DQ26" s="74">
        <f t="shared" si="18"/>
        <v>-1315996.161908376</v>
      </c>
      <c r="DR26" s="85">
        <f t="shared" si="25"/>
        <v>-1.7651667216692681</v>
      </c>
      <c r="DS26" s="81">
        <f t="shared" si="19"/>
        <v>5189303.8411527025</v>
      </c>
      <c r="DT26" s="81">
        <f t="shared" si="1"/>
        <v>1686625.6752677693</v>
      </c>
      <c r="DU26" s="81">
        <f t="shared" si="2"/>
        <v>436457.10479177732</v>
      </c>
      <c r="DV26" s="81">
        <f t="shared" si="3"/>
        <v>352580.50809897215</v>
      </c>
      <c r="DW26" s="81">
        <f t="shared" si="4"/>
        <v>0</v>
      </c>
      <c r="DX26" s="81">
        <f t="shared" si="5"/>
        <v>0</v>
      </c>
      <c r="DY26" s="81">
        <f t="shared" si="6"/>
        <v>0</v>
      </c>
      <c r="DZ26" s="81">
        <f t="shared" si="7"/>
        <v>362651.6</v>
      </c>
      <c r="EA26" s="74">
        <f t="shared" si="8"/>
        <v>-1315996.161908376</v>
      </c>
      <c r="EB26" s="81">
        <f t="shared" si="9"/>
        <v>70000</v>
      </c>
      <c r="EC26" s="81">
        <f t="shared" si="9"/>
        <v>1991532.6292307803</v>
      </c>
      <c r="ED26" s="86">
        <v>0</v>
      </c>
      <c r="EE26" s="81">
        <f t="shared" si="21"/>
        <v>745536.46732240426</v>
      </c>
      <c r="EF26" s="81">
        <f t="shared" si="22"/>
        <v>8773155.1966336239</v>
      </c>
      <c r="EG26" s="81">
        <f t="shared" si="10"/>
        <v>0</v>
      </c>
      <c r="EH26" s="81">
        <v>7655858.1687166188</v>
      </c>
      <c r="EI26" s="84">
        <f t="shared" si="28"/>
        <v>8410503.5966336261</v>
      </c>
      <c r="EJ26" s="74">
        <f t="shared" si="12"/>
        <v>1117297.027917007</v>
      </c>
      <c r="EK26" s="74">
        <f t="shared" si="13"/>
        <v>754645.42791700736</v>
      </c>
      <c r="EM26" s="88">
        <f t="shared" si="14"/>
        <v>400</v>
      </c>
      <c r="EN26" s="74">
        <v>300</v>
      </c>
      <c r="EO26" s="74">
        <f t="shared" si="15"/>
        <v>100</v>
      </c>
      <c r="EP26" s="72">
        <v>327</v>
      </c>
      <c r="EQ26" s="74">
        <f t="shared" si="23"/>
        <v>27</v>
      </c>
      <c r="ER26" s="72">
        <v>296</v>
      </c>
      <c r="ES26" s="74">
        <f t="shared" si="24"/>
        <v>104</v>
      </c>
      <c r="ET26" s="74"/>
      <c r="EU26" s="74"/>
      <c r="EV26" s="74"/>
      <c r="EW26" s="89"/>
      <c r="EX26" s="81">
        <f t="shared" si="26"/>
        <v>7617130.6906389631</v>
      </c>
      <c r="EY26" s="81">
        <f t="shared" si="27"/>
        <v>1156024.505994664</v>
      </c>
    </row>
    <row r="27" spans="1:155" x14ac:dyDescent="0.25">
      <c r="A27" s="76">
        <v>405</v>
      </c>
      <c r="B27" s="76" t="s">
        <v>165</v>
      </c>
      <c r="C27" s="77" t="s">
        <v>152</v>
      </c>
      <c r="D27" s="41">
        <v>3</v>
      </c>
      <c r="E27" s="78">
        <v>1530</v>
      </c>
      <c r="F27" s="78">
        <v>137.84856396866843</v>
      </c>
      <c r="G27" s="79">
        <v>173177.12015668923</v>
      </c>
      <c r="H27" s="79">
        <v>109114.27619794433</v>
      </c>
      <c r="I27" s="79">
        <v>716015.62279911502</v>
      </c>
      <c r="J27" s="79">
        <v>414634.24955218844</v>
      </c>
      <c r="K27" s="79">
        <v>0</v>
      </c>
      <c r="L27" s="79">
        <v>81577.320156689224</v>
      </c>
      <c r="M27" s="79">
        <v>59319.676384927567</v>
      </c>
      <c r="N27" s="79">
        <v>169614.24026272475</v>
      </c>
      <c r="O27" s="79">
        <v>0</v>
      </c>
      <c r="P27" s="79">
        <v>0</v>
      </c>
      <c r="Q27" s="79"/>
      <c r="R27" s="79">
        <v>69375.836746740591</v>
      </c>
      <c r="S27" s="79">
        <v>54629.386746740587</v>
      </c>
      <c r="T27" s="79">
        <v>293752.42048044351</v>
      </c>
      <c r="U27" s="79">
        <v>109114.27619794433</v>
      </c>
      <c r="V27" s="79">
        <v>0</v>
      </c>
      <c r="W27" s="79">
        <v>0</v>
      </c>
      <c r="X27" s="79">
        <v>0</v>
      </c>
      <c r="Y27" s="79">
        <v>0</v>
      </c>
      <c r="Z27" s="79"/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79">
        <v>0</v>
      </c>
      <c r="AN27" s="79">
        <v>2586008.3458912806</v>
      </c>
      <c r="AO27" s="79">
        <v>2498716.924932925</v>
      </c>
      <c r="AP27" s="79">
        <v>2498716.924932925</v>
      </c>
      <c r="AQ27" s="79">
        <v>0</v>
      </c>
      <c r="AR27" s="79">
        <v>0</v>
      </c>
      <c r="AS27" s="79">
        <v>0</v>
      </c>
      <c r="AT27" s="79">
        <v>0</v>
      </c>
      <c r="AU27" s="79">
        <v>0</v>
      </c>
      <c r="AV27" s="79"/>
      <c r="AW27" s="79">
        <v>0</v>
      </c>
      <c r="AX27" s="79">
        <v>109114.27619794433</v>
      </c>
      <c r="AY27" s="79">
        <v>381899.96669280517</v>
      </c>
      <c r="AZ27" s="79">
        <v>1418485.5905732764</v>
      </c>
      <c r="BA27" s="79">
        <v>103207.87915478271</v>
      </c>
      <c r="BB27" s="79">
        <v>0</v>
      </c>
      <c r="BC27" s="79">
        <v>105202</v>
      </c>
      <c r="BD27" s="79">
        <v>327342.82859383302</v>
      </c>
      <c r="BE27" s="79">
        <v>0</v>
      </c>
      <c r="BF27" s="79">
        <v>0</v>
      </c>
      <c r="BG27" s="79">
        <v>0</v>
      </c>
      <c r="BH27" s="79">
        <v>0</v>
      </c>
      <c r="BI27" s="79">
        <v>0</v>
      </c>
      <c r="BJ27" s="79"/>
      <c r="BK27" s="79">
        <v>0</v>
      </c>
      <c r="BL27" s="79"/>
      <c r="BM27" s="79">
        <v>0</v>
      </c>
      <c r="BN27" s="79">
        <v>0</v>
      </c>
      <c r="BO27" s="79">
        <v>36850</v>
      </c>
      <c r="BP27" s="79">
        <v>105202</v>
      </c>
      <c r="BQ27" s="79">
        <v>0</v>
      </c>
      <c r="BR27" s="79">
        <v>0</v>
      </c>
      <c r="BS27" s="79">
        <v>0</v>
      </c>
      <c r="BT27" s="79">
        <v>0</v>
      </c>
      <c r="BU27" s="79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79">
        <v>0</v>
      </c>
      <c r="CE27" s="79">
        <v>0</v>
      </c>
      <c r="CF27" s="79">
        <v>0</v>
      </c>
      <c r="CG27" s="79">
        <v>0</v>
      </c>
      <c r="CH27" s="79">
        <v>0</v>
      </c>
      <c r="CI27" s="79">
        <v>327342.82859383302</v>
      </c>
      <c r="CJ27" s="79">
        <v>0</v>
      </c>
      <c r="CK27" s="79">
        <v>23000</v>
      </c>
      <c r="CL27" s="79">
        <v>5000</v>
      </c>
      <c r="CM27" s="79">
        <v>473224.5</v>
      </c>
      <c r="CN27" s="79">
        <v>100000</v>
      </c>
      <c r="CO27" s="79">
        <v>0</v>
      </c>
      <c r="CP27" s="79">
        <v>0</v>
      </c>
      <c r="CQ27" s="79">
        <v>0</v>
      </c>
      <c r="CR27" s="79">
        <v>0</v>
      </c>
      <c r="CS27" s="79">
        <v>104540.50364963504</v>
      </c>
      <c r="CT27" s="79"/>
      <c r="CU27" s="79">
        <v>0</v>
      </c>
      <c r="CV27" s="79"/>
      <c r="CW27" s="79">
        <v>0</v>
      </c>
      <c r="CX27" s="79">
        <v>0</v>
      </c>
      <c r="CY27" s="79">
        <v>0</v>
      </c>
      <c r="CZ27" s="79">
        <v>0</v>
      </c>
      <c r="DA27" s="79">
        <v>153000</v>
      </c>
      <c r="DB27" s="79">
        <v>206266.18025905665</v>
      </c>
      <c r="DC27" s="82">
        <v>2082298.8248455543</v>
      </c>
      <c r="DD27" s="79">
        <v>16256</v>
      </c>
      <c r="DE27" s="79"/>
      <c r="DF27" s="79">
        <v>40250</v>
      </c>
      <c r="DG27" s="79">
        <v>0</v>
      </c>
      <c r="DH27" s="83">
        <v>0</v>
      </c>
      <c r="DI27" s="79">
        <v>10426.307189542484</v>
      </c>
      <c r="DJ27" s="79">
        <v>15952250</v>
      </c>
      <c r="DK27" s="84">
        <v>0</v>
      </c>
      <c r="DL27" s="84">
        <v>0</v>
      </c>
      <c r="DM27" s="84">
        <f t="shared" si="16"/>
        <v>15952250</v>
      </c>
      <c r="DN27" s="84">
        <f>'[7]FY20 Initial Budget Alloca FTE'!F27*DN$1</f>
        <v>302696.1476762403</v>
      </c>
      <c r="DO27" s="81">
        <f t="shared" si="0"/>
        <v>0</v>
      </c>
      <c r="DP27" s="81">
        <f t="shared" si="17"/>
        <v>40250</v>
      </c>
      <c r="DQ27" s="74">
        <f t="shared" si="18"/>
        <v>262446.1476762403</v>
      </c>
      <c r="DR27" s="85">
        <f t="shared" si="25"/>
        <v>0.86702837049961123</v>
      </c>
      <c r="DS27" s="81">
        <f t="shared" si="19"/>
        <v>10595671.986265562</v>
      </c>
      <c r="DT27" s="81">
        <f t="shared" si="1"/>
        <v>2117909.7126188087</v>
      </c>
      <c r="DU27" s="81">
        <f t="shared" si="2"/>
        <v>327342.82859383302</v>
      </c>
      <c r="DV27" s="81">
        <f t="shared" si="3"/>
        <v>36850</v>
      </c>
      <c r="DW27" s="81">
        <f t="shared" si="4"/>
        <v>16256</v>
      </c>
      <c r="DX27" s="81">
        <f t="shared" si="5"/>
        <v>2082298.8248455543</v>
      </c>
      <c r="DY27" s="81">
        <f t="shared" si="6"/>
        <v>0</v>
      </c>
      <c r="DZ27" s="81">
        <f t="shared" si="7"/>
        <v>473224.5</v>
      </c>
      <c r="EA27" s="74">
        <f t="shared" si="8"/>
        <v>262446.1476762403</v>
      </c>
      <c r="EB27" s="81">
        <f t="shared" si="9"/>
        <v>0</v>
      </c>
      <c r="EC27" s="81">
        <f t="shared" si="9"/>
        <v>40250</v>
      </c>
      <c r="ED27" s="86">
        <f t="shared" si="20"/>
        <v>0.86702837049961123</v>
      </c>
      <c r="EE27" s="81">
        <f t="shared" si="21"/>
        <v>302696.1476762403</v>
      </c>
      <c r="EF27" s="81">
        <f t="shared" si="22"/>
        <v>15952250</v>
      </c>
      <c r="EG27" s="81">
        <f t="shared" si="10"/>
        <v>0</v>
      </c>
      <c r="EH27" s="81">
        <v>15057439</v>
      </c>
      <c r="EI27" s="84">
        <f t="shared" si="28"/>
        <v>15479025.5</v>
      </c>
      <c r="EJ27" s="74">
        <f t="shared" si="12"/>
        <v>894811</v>
      </c>
      <c r="EK27" s="74">
        <f t="shared" si="13"/>
        <v>421586.5</v>
      </c>
      <c r="EM27" s="88">
        <f t="shared" si="14"/>
        <v>1530</v>
      </c>
      <c r="EN27" s="74">
        <v>1544</v>
      </c>
      <c r="EO27" s="74">
        <f t="shared" si="15"/>
        <v>-14</v>
      </c>
      <c r="EP27" s="90">
        <v>1507</v>
      </c>
      <c r="EQ27" s="74">
        <f t="shared" si="23"/>
        <v>-37</v>
      </c>
      <c r="ER27" s="72">
        <v>1541</v>
      </c>
      <c r="ES27" s="74">
        <f t="shared" si="24"/>
        <v>-11</v>
      </c>
      <c r="ET27" s="74"/>
      <c r="EU27" s="74"/>
      <c r="EV27" s="74"/>
      <c r="EW27" s="89"/>
      <c r="EX27" s="81">
        <f t="shared" si="26"/>
        <v>12711563.991245754</v>
      </c>
      <c r="EY27" s="81">
        <f t="shared" si="27"/>
        <v>3240686.0087542459</v>
      </c>
    </row>
    <row r="28" spans="1:155" x14ac:dyDescent="0.25">
      <c r="A28" s="76">
        <v>349</v>
      </c>
      <c r="B28" s="76" t="s">
        <v>166</v>
      </c>
      <c r="C28" s="77" t="s">
        <v>135</v>
      </c>
      <c r="D28" s="41">
        <v>4</v>
      </c>
      <c r="E28" s="78">
        <v>476</v>
      </c>
      <c r="F28" s="78">
        <v>225.29032258064515</v>
      </c>
      <c r="G28" s="79">
        <v>173177.12015668923</v>
      </c>
      <c r="H28" s="79">
        <v>109114.27619794433</v>
      </c>
      <c r="I28" s="79">
        <v>168474.26418802707</v>
      </c>
      <c r="J28" s="79">
        <v>0</v>
      </c>
      <c r="K28" s="79">
        <v>0</v>
      </c>
      <c r="L28" s="79">
        <v>81577.320156689224</v>
      </c>
      <c r="M28" s="79">
        <v>59319.676384927567</v>
      </c>
      <c r="N28" s="79">
        <v>53562.391661913083</v>
      </c>
      <c r="O28" s="79">
        <v>0</v>
      </c>
      <c r="P28" s="79">
        <v>0</v>
      </c>
      <c r="Q28" s="79"/>
      <c r="R28" s="79">
        <v>69375.836746740591</v>
      </c>
      <c r="S28" s="79">
        <v>54629.386746740587</v>
      </c>
      <c r="T28" s="79">
        <v>146876.21024022176</v>
      </c>
      <c r="U28" s="79">
        <v>109114.27619794433</v>
      </c>
      <c r="V28" s="79">
        <v>109114.27619794433</v>
      </c>
      <c r="W28" s="79">
        <v>109114.27619794433</v>
      </c>
      <c r="X28" s="79">
        <v>109114.27619794433</v>
      </c>
      <c r="Y28" s="79">
        <v>163671.41429691651</v>
      </c>
      <c r="Z28" s="79"/>
      <c r="AA28" s="79">
        <v>436457.10479177732</v>
      </c>
      <c r="AB28" s="79">
        <v>137610.50553971028</v>
      </c>
      <c r="AC28" s="79">
        <v>0</v>
      </c>
      <c r="AD28" s="79">
        <v>0</v>
      </c>
      <c r="AE28" s="79">
        <v>545571.38098972163</v>
      </c>
      <c r="AF28" s="79">
        <v>172013.13192463786</v>
      </c>
      <c r="AG28" s="79">
        <v>436457.10479177732</v>
      </c>
      <c r="AH28" s="79">
        <v>137610.50553971028</v>
      </c>
      <c r="AI28" s="79">
        <v>327342.82859383302</v>
      </c>
      <c r="AJ28" s="79">
        <v>327342.82859383302</v>
      </c>
      <c r="AK28" s="79">
        <v>327342.82859383302</v>
      </c>
      <c r="AL28" s="79">
        <v>218228.55239588866</v>
      </c>
      <c r="AM28" s="79">
        <v>218228.55239588866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/>
      <c r="AW28" s="79">
        <v>0</v>
      </c>
      <c r="AX28" s="79">
        <v>109114.27619794433</v>
      </c>
      <c r="AY28" s="79">
        <v>163671.41429691651</v>
      </c>
      <c r="AZ28" s="79">
        <v>872914.20958355465</v>
      </c>
      <c r="BA28" s="79">
        <v>206415.75830956543</v>
      </c>
      <c r="BB28" s="79">
        <v>0</v>
      </c>
      <c r="BC28" s="79">
        <v>0</v>
      </c>
      <c r="BD28" s="79">
        <v>1200257.0381773876</v>
      </c>
      <c r="BE28" s="79">
        <v>0</v>
      </c>
      <c r="BF28" s="79">
        <v>218228.55239588866</v>
      </c>
      <c r="BG28" s="79">
        <v>0</v>
      </c>
      <c r="BH28" s="79">
        <v>0</v>
      </c>
      <c r="BI28" s="79">
        <v>0</v>
      </c>
      <c r="BJ28" s="79"/>
      <c r="BK28" s="79">
        <v>0</v>
      </c>
      <c r="BL28" s="79"/>
      <c r="BM28" s="79">
        <v>227236.01</v>
      </c>
      <c r="BN28" s="79">
        <v>3615.91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80">
        <v>0</v>
      </c>
      <c r="BW28" s="80">
        <v>0</v>
      </c>
      <c r="BX28" s="80">
        <v>0</v>
      </c>
      <c r="BY28" s="80">
        <v>0</v>
      </c>
      <c r="BZ28" s="80">
        <v>0</v>
      </c>
      <c r="CA28" s="80">
        <v>0</v>
      </c>
      <c r="CB28" s="80">
        <v>0</v>
      </c>
      <c r="CC28" s="80">
        <v>0</v>
      </c>
      <c r="CD28" s="79">
        <v>0</v>
      </c>
      <c r="CE28" s="79">
        <v>0</v>
      </c>
      <c r="CF28" s="79">
        <v>0</v>
      </c>
      <c r="CG28" s="79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0</v>
      </c>
      <c r="CM28" s="79">
        <v>108165.6</v>
      </c>
      <c r="CN28" s="79">
        <v>0</v>
      </c>
      <c r="CO28" s="79">
        <v>0</v>
      </c>
      <c r="CP28" s="79">
        <v>0</v>
      </c>
      <c r="CQ28" s="79">
        <v>4505.8064516129034</v>
      </c>
      <c r="CR28" s="79">
        <v>372600</v>
      </c>
      <c r="CS28" s="79">
        <v>26375</v>
      </c>
      <c r="CT28" s="79"/>
      <c r="CU28" s="79">
        <v>0</v>
      </c>
      <c r="CV28" s="79"/>
      <c r="CW28" s="79">
        <v>0</v>
      </c>
      <c r="CX28" s="79">
        <v>0</v>
      </c>
      <c r="CY28" s="79">
        <v>0</v>
      </c>
      <c r="CZ28" s="79">
        <v>0</v>
      </c>
      <c r="DA28" s="79">
        <v>47600</v>
      </c>
      <c r="DB28" s="79">
        <v>127892.62935235533</v>
      </c>
      <c r="DC28" s="82">
        <v>0</v>
      </c>
      <c r="DD28" s="79">
        <v>0</v>
      </c>
      <c r="DE28" s="79"/>
      <c r="DF28" s="79">
        <v>13500</v>
      </c>
      <c r="DG28" s="79">
        <v>0</v>
      </c>
      <c r="DH28" s="83">
        <v>0</v>
      </c>
      <c r="DI28" s="79">
        <v>17862.463299337021</v>
      </c>
      <c r="DJ28" s="79">
        <v>8502532.530484423</v>
      </c>
      <c r="DK28" s="84">
        <v>-4.8442371189594269E-4</v>
      </c>
      <c r="DL28" s="84">
        <v>0</v>
      </c>
      <c r="DM28" s="84">
        <f t="shared" si="16"/>
        <v>8502532.5299999993</v>
      </c>
      <c r="DN28" s="84">
        <f>'[7]FY20 Initial Budget Alloca FTE'!F28*DN$1</f>
        <v>494706.00774193549</v>
      </c>
      <c r="DO28" s="81">
        <f t="shared" si="0"/>
        <v>0</v>
      </c>
      <c r="DP28" s="81">
        <f t="shared" si="17"/>
        <v>390605.80645161291</v>
      </c>
      <c r="DQ28" s="74">
        <f t="shared" si="18"/>
        <v>104100.20129032258</v>
      </c>
      <c r="DR28" s="85">
        <f t="shared" si="25"/>
        <v>0.2104284153844897</v>
      </c>
      <c r="DS28" s="81">
        <f t="shared" si="19"/>
        <v>4898207.7537812311</v>
      </c>
      <c r="DT28" s="81">
        <f t="shared" si="1"/>
        <v>1352115.6583879809</v>
      </c>
      <c r="DU28" s="81">
        <f t="shared" si="2"/>
        <v>1418485.5905732762</v>
      </c>
      <c r="DV28" s="81">
        <f t="shared" si="3"/>
        <v>230851.92</v>
      </c>
      <c r="DW28" s="81">
        <f t="shared" si="4"/>
        <v>0</v>
      </c>
      <c r="DX28" s="81">
        <f t="shared" si="5"/>
        <v>0</v>
      </c>
      <c r="DY28" s="81">
        <f t="shared" si="6"/>
        <v>0</v>
      </c>
      <c r="DZ28" s="81">
        <f t="shared" si="7"/>
        <v>108165.6</v>
      </c>
      <c r="EA28" s="74">
        <f t="shared" si="8"/>
        <v>104100.20129032258</v>
      </c>
      <c r="EB28" s="81">
        <f t="shared" si="9"/>
        <v>0</v>
      </c>
      <c r="EC28" s="81">
        <f t="shared" si="9"/>
        <v>390605.80645161291</v>
      </c>
      <c r="ED28" s="86">
        <f t="shared" si="20"/>
        <v>0.2104284153844897</v>
      </c>
      <c r="EE28" s="81">
        <f t="shared" si="21"/>
        <v>494706.00774193549</v>
      </c>
      <c r="EF28" s="81">
        <f t="shared" si="22"/>
        <v>8502532.530484423</v>
      </c>
      <c r="EG28" s="81">
        <f t="shared" si="10"/>
        <v>0</v>
      </c>
      <c r="EH28" s="81">
        <v>7964416.332215053</v>
      </c>
      <c r="EI28" s="84">
        <f t="shared" si="28"/>
        <v>8394366.9304844234</v>
      </c>
      <c r="EJ28" s="74">
        <f t="shared" si="12"/>
        <v>538116.19826937001</v>
      </c>
      <c r="EK28" s="74">
        <f t="shared" si="13"/>
        <v>429950.59826937038</v>
      </c>
      <c r="EM28" s="88">
        <f t="shared" si="14"/>
        <v>476</v>
      </c>
      <c r="EN28" s="74">
        <v>446</v>
      </c>
      <c r="EO28" s="74">
        <f t="shared" si="15"/>
        <v>30</v>
      </c>
      <c r="EP28" s="94">
        <v>480</v>
      </c>
      <c r="EQ28" s="74">
        <f t="shared" si="23"/>
        <v>34</v>
      </c>
      <c r="ER28" s="72">
        <v>475</v>
      </c>
      <c r="ES28" s="74">
        <f t="shared" si="24"/>
        <v>1</v>
      </c>
      <c r="ET28" s="74"/>
      <c r="EU28" s="74"/>
      <c r="EV28" s="74"/>
      <c r="EW28" s="89"/>
      <c r="EX28" s="81">
        <f t="shared" si="26"/>
        <v>7571041.574680456</v>
      </c>
      <c r="EY28" s="81">
        <f t="shared" si="27"/>
        <v>931490.95580396825</v>
      </c>
    </row>
    <row r="29" spans="1:155" x14ac:dyDescent="0.25">
      <c r="A29" s="76">
        <v>231</v>
      </c>
      <c r="B29" s="76" t="s">
        <v>167</v>
      </c>
      <c r="C29" s="77" t="s">
        <v>135</v>
      </c>
      <c r="D29" s="41">
        <v>7</v>
      </c>
      <c r="E29" s="78">
        <v>228</v>
      </c>
      <c r="F29" s="78">
        <v>181.15107913669067</v>
      </c>
      <c r="G29" s="79">
        <v>173177.12015668923</v>
      </c>
      <c r="H29" s="79">
        <v>109114.27619794433</v>
      </c>
      <c r="I29" s="79">
        <v>0</v>
      </c>
      <c r="J29" s="79">
        <v>0</v>
      </c>
      <c r="K29" s="79">
        <v>0</v>
      </c>
      <c r="L29" s="79">
        <v>40788.660078344612</v>
      </c>
      <c r="M29" s="79">
        <v>59319.676384927567</v>
      </c>
      <c r="N29" s="79">
        <v>0</v>
      </c>
      <c r="O29" s="79">
        <v>0</v>
      </c>
      <c r="P29" s="79">
        <v>0</v>
      </c>
      <c r="Q29" s="79"/>
      <c r="R29" s="79">
        <v>69375.836746740591</v>
      </c>
      <c r="S29" s="79">
        <v>54629.386746740587</v>
      </c>
      <c r="T29" s="79">
        <v>48958.736746740586</v>
      </c>
      <c r="U29" s="79">
        <v>54557.138098972166</v>
      </c>
      <c r="V29" s="79">
        <v>109114.27619794433</v>
      </c>
      <c r="W29" s="79">
        <v>109114.27619794433</v>
      </c>
      <c r="X29" s="79">
        <v>109114.27619794433</v>
      </c>
      <c r="Y29" s="79">
        <v>0</v>
      </c>
      <c r="Z29" s="79"/>
      <c r="AA29" s="79">
        <v>109114.27619794433</v>
      </c>
      <c r="AB29" s="79">
        <v>34402.626384927571</v>
      </c>
      <c r="AC29" s="79">
        <v>109114.27619794433</v>
      </c>
      <c r="AD29" s="79">
        <v>34402.626384927571</v>
      </c>
      <c r="AE29" s="79">
        <v>109114.27619794433</v>
      </c>
      <c r="AF29" s="79">
        <v>34402.626384927571</v>
      </c>
      <c r="AG29" s="79">
        <v>218228.55239588866</v>
      </c>
      <c r="AH29" s="79">
        <v>68805.252769855142</v>
      </c>
      <c r="AI29" s="79">
        <v>109114.27619794433</v>
      </c>
      <c r="AJ29" s="79">
        <v>218228.55239588866</v>
      </c>
      <c r="AK29" s="79">
        <v>218228.55239588866</v>
      </c>
      <c r="AL29" s="79">
        <v>109114.27619794433</v>
      </c>
      <c r="AM29" s="79">
        <v>218228.55239588866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/>
      <c r="AW29" s="79">
        <v>0</v>
      </c>
      <c r="AX29" s="79">
        <v>109114.27619794433</v>
      </c>
      <c r="AY29" s="79">
        <v>109114.27619794433</v>
      </c>
      <c r="AZ29" s="79">
        <v>436457.10479177732</v>
      </c>
      <c r="BA29" s="79">
        <v>68805.252769855142</v>
      </c>
      <c r="BB29" s="79">
        <v>0</v>
      </c>
      <c r="BC29" s="79">
        <v>0</v>
      </c>
      <c r="BD29" s="79">
        <v>34718.178790255013</v>
      </c>
      <c r="BE29" s="79">
        <v>0</v>
      </c>
      <c r="BF29" s="79">
        <v>0</v>
      </c>
      <c r="BG29" s="79">
        <f>17958-BL29</f>
        <v>6360.9</v>
      </c>
      <c r="BH29" s="79">
        <v>16836</v>
      </c>
      <c r="BI29" s="79">
        <v>6734</v>
      </c>
      <c r="BJ29" s="79"/>
      <c r="BK29" s="79">
        <v>0</v>
      </c>
      <c r="BL29" s="79">
        <v>11597.1</v>
      </c>
      <c r="BM29" s="79">
        <v>129305.84</v>
      </c>
      <c r="BN29" s="79">
        <v>2057.59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140395.22015668923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79">
        <v>0</v>
      </c>
      <c r="CE29" s="79">
        <v>0</v>
      </c>
      <c r="CF29" s="79">
        <v>0</v>
      </c>
      <c r="CG29" s="79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79">
        <v>54082.8</v>
      </c>
      <c r="CN29" s="79">
        <v>0</v>
      </c>
      <c r="CO29" s="79">
        <v>0</v>
      </c>
      <c r="CP29" s="79">
        <v>0</v>
      </c>
      <c r="CQ29" s="79">
        <v>7246.0431654676267</v>
      </c>
      <c r="CR29" s="79">
        <v>120960</v>
      </c>
      <c r="CS29" s="79">
        <v>14210.596685082874</v>
      </c>
      <c r="CT29" s="79"/>
      <c r="CU29" s="79">
        <v>0</v>
      </c>
      <c r="CV29" s="79"/>
      <c r="CW29" s="79">
        <v>0</v>
      </c>
      <c r="CX29" s="79">
        <v>0</v>
      </c>
      <c r="CY29" s="79">
        <v>0</v>
      </c>
      <c r="CZ29" s="79">
        <v>0</v>
      </c>
      <c r="DA29" s="79">
        <v>22800</v>
      </c>
      <c r="DB29" s="79">
        <v>54851.596683045624</v>
      </c>
      <c r="DC29" s="82">
        <v>0</v>
      </c>
      <c r="DD29" s="79">
        <v>15363.214285714286</v>
      </c>
      <c r="DE29" s="79"/>
      <c r="DF29" s="79">
        <v>21300</v>
      </c>
      <c r="DG29" s="79">
        <v>0</v>
      </c>
      <c r="DH29" s="83">
        <v>0</v>
      </c>
      <c r="DI29" s="79">
        <v>17149.440227950097</v>
      </c>
      <c r="DJ29" s="79">
        <v>3910072.3719726219</v>
      </c>
      <c r="DK29" s="84">
        <v>-1.9726217724382877E-3</v>
      </c>
      <c r="DL29" s="84">
        <v>48417.17</v>
      </c>
      <c r="DM29" s="84">
        <f t="shared" si="16"/>
        <v>3958489.54</v>
      </c>
      <c r="DN29" s="84">
        <f>'[7]FY20 Initial Budget Alloca FTE'!F29*DN$1</f>
        <v>397782.40863309358</v>
      </c>
      <c r="DO29" s="81">
        <f t="shared" si="0"/>
        <v>29930.9</v>
      </c>
      <c r="DP29" s="81">
        <f t="shared" si="17"/>
        <v>289901.26332215685</v>
      </c>
      <c r="DQ29" s="74">
        <f t="shared" si="18"/>
        <v>77950.245310936734</v>
      </c>
      <c r="DR29" s="85">
        <f t="shared" si="25"/>
        <v>0.19596202250068945</v>
      </c>
      <c r="DS29" s="81">
        <f t="shared" si="19"/>
        <v>2541674.3303060387</v>
      </c>
      <c r="DT29" s="81">
        <f t="shared" si="1"/>
        <v>723490.90995752113</v>
      </c>
      <c r="DU29" s="81">
        <f t="shared" si="2"/>
        <v>34718.178790255013</v>
      </c>
      <c r="DV29" s="81">
        <f t="shared" si="3"/>
        <v>142960.53</v>
      </c>
      <c r="DW29" s="81">
        <f t="shared" si="4"/>
        <v>15363.214285714286</v>
      </c>
      <c r="DX29" s="81">
        <f t="shared" si="5"/>
        <v>0</v>
      </c>
      <c r="DY29" s="81">
        <f t="shared" si="6"/>
        <v>0</v>
      </c>
      <c r="DZ29" s="81">
        <f t="shared" si="7"/>
        <v>54082.8</v>
      </c>
      <c r="EA29" s="74">
        <f t="shared" si="8"/>
        <v>77950.245310936734</v>
      </c>
      <c r="EB29" s="81">
        <f t="shared" si="9"/>
        <v>29930.9</v>
      </c>
      <c r="EC29" s="81">
        <f t="shared" si="9"/>
        <v>289901.26332215685</v>
      </c>
      <c r="ED29" s="86">
        <f t="shared" si="20"/>
        <v>0.19596202250068945</v>
      </c>
      <c r="EE29" s="81">
        <f t="shared" si="21"/>
        <v>397782.40863309358</v>
      </c>
      <c r="EF29" s="81">
        <f t="shared" si="22"/>
        <v>3910072.3719726219</v>
      </c>
      <c r="EG29" s="81">
        <f t="shared" si="10"/>
        <v>0</v>
      </c>
      <c r="EH29" s="81">
        <v>3954036.6329216454</v>
      </c>
      <c r="EI29" s="84">
        <f t="shared" si="28"/>
        <v>3855989.5719726221</v>
      </c>
      <c r="EJ29" s="74">
        <f t="shared" si="12"/>
        <v>-43964.260949023534</v>
      </c>
      <c r="EK29" s="74">
        <f t="shared" si="13"/>
        <v>-98047.060949023347</v>
      </c>
      <c r="EM29" s="88">
        <f t="shared" si="14"/>
        <v>228</v>
      </c>
      <c r="EN29" s="74">
        <v>266</v>
      </c>
      <c r="EO29" s="74">
        <f t="shared" si="15"/>
        <v>-38</v>
      </c>
      <c r="EP29" s="72">
        <v>236</v>
      </c>
      <c r="EQ29" s="74">
        <f t="shared" si="23"/>
        <v>-30</v>
      </c>
      <c r="ER29" s="72">
        <v>296</v>
      </c>
      <c r="ES29" s="74">
        <f t="shared" si="24"/>
        <v>-68</v>
      </c>
      <c r="ET29" s="74"/>
      <c r="EU29" s="74"/>
      <c r="EV29" s="74"/>
      <c r="EW29" s="89"/>
      <c r="EX29" s="81">
        <f t="shared" si="26"/>
        <v>3456297.591153312</v>
      </c>
      <c r="EY29" s="81">
        <f t="shared" si="27"/>
        <v>453774.7808193104</v>
      </c>
    </row>
    <row r="30" spans="1:155" x14ac:dyDescent="0.25">
      <c r="A30" s="76">
        <v>467</v>
      </c>
      <c r="B30" s="76" t="s">
        <v>168</v>
      </c>
      <c r="C30" s="77" t="s">
        <v>138</v>
      </c>
      <c r="D30" s="41">
        <v>5</v>
      </c>
      <c r="E30" s="78">
        <v>730</v>
      </c>
      <c r="F30" s="78">
        <v>565.53846153846155</v>
      </c>
      <c r="G30" s="79">
        <v>173177.12015668923</v>
      </c>
      <c r="H30" s="79">
        <v>109114.27619794433</v>
      </c>
      <c r="I30" s="79">
        <v>336948.52837605414</v>
      </c>
      <c r="J30" s="79">
        <v>0</v>
      </c>
      <c r="K30" s="79">
        <v>356671.77783887769</v>
      </c>
      <c r="L30" s="79">
        <v>81577.320156689224</v>
      </c>
      <c r="M30" s="79">
        <v>59319.676384927567</v>
      </c>
      <c r="N30" s="79">
        <v>80343.587492869628</v>
      </c>
      <c r="O30" s="79">
        <v>50130.026384927565</v>
      </c>
      <c r="P30" s="79">
        <v>62573.586746740584</v>
      </c>
      <c r="Q30" s="79"/>
      <c r="R30" s="79">
        <v>69375.836746740591</v>
      </c>
      <c r="S30" s="79">
        <v>54629.386746740587</v>
      </c>
      <c r="T30" s="79">
        <v>342711.1572271841</v>
      </c>
      <c r="U30" s="79">
        <v>109114.27619794433</v>
      </c>
      <c r="V30" s="79">
        <v>0</v>
      </c>
      <c r="W30" s="79">
        <v>0</v>
      </c>
      <c r="X30" s="79">
        <v>0</v>
      </c>
      <c r="Y30" s="79">
        <v>0</v>
      </c>
      <c r="Z30" s="79"/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f>E30/24*AV$121</f>
        <v>3318892.5676874737</v>
      </c>
      <c r="AW30" s="79">
        <f>4180370.23411572-AV30</f>
        <v>861477.66642824607</v>
      </c>
      <c r="AX30" s="79">
        <v>109114.27619794433</v>
      </c>
      <c r="AY30" s="79">
        <v>327342.82859383302</v>
      </c>
      <c r="AZ30" s="79">
        <v>1309371.3143753321</v>
      </c>
      <c r="BA30" s="79">
        <v>172013.13192463786</v>
      </c>
      <c r="BB30" s="79">
        <v>96126.952769855139</v>
      </c>
      <c r="BC30" s="79">
        <v>0</v>
      </c>
      <c r="BD30" s="79">
        <v>218228.55239588866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/>
      <c r="BK30" s="79">
        <v>70000</v>
      </c>
      <c r="BL30" s="79"/>
      <c r="BM30" s="79">
        <v>293315.09000000003</v>
      </c>
      <c r="BN30" s="79">
        <v>4667.3999999999996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80">
        <v>140395.22015668923</v>
      </c>
      <c r="BW30" s="80">
        <v>26000</v>
      </c>
      <c r="BX30" s="80">
        <v>23000</v>
      </c>
      <c r="BY30" s="80">
        <v>0</v>
      </c>
      <c r="BZ30" s="80">
        <v>45000</v>
      </c>
      <c r="CA30" s="80">
        <v>0</v>
      </c>
      <c r="CB30" s="80"/>
      <c r="CC30" s="80">
        <v>23700</v>
      </c>
      <c r="CD30" s="79">
        <v>218228.55239588866</v>
      </c>
      <c r="CE30" s="79">
        <v>0</v>
      </c>
      <c r="CF30" s="79">
        <v>128098.27015668922</v>
      </c>
      <c r="CG30" s="79">
        <v>105202</v>
      </c>
      <c r="CH30" s="79">
        <v>109114.27619794433</v>
      </c>
      <c r="CI30" s="79">
        <v>0</v>
      </c>
      <c r="CJ30" s="79">
        <v>0</v>
      </c>
      <c r="CK30" s="79">
        <v>0</v>
      </c>
      <c r="CL30" s="79">
        <v>0</v>
      </c>
      <c r="CM30" s="79">
        <v>590096.19999999995</v>
      </c>
      <c r="CN30" s="79">
        <v>0</v>
      </c>
      <c r="CO30" s="79">
        <v>105202</v>
      </c>
      <c r="CP30" s="79">
        <v>0</v>
      </c>
      <c r="CQ30" s="79">
        <v>22621.538461538461</v>
      </c>
      <c r="CR30" s="79">
        <v>0</v>
      </c>
      <c r="CS30" s="79">
        <v>97949.954545454559</v>
      </c>
      <c r="CT30" s="79"/>
      <c r="CU30" s="79">
        <v>105202</v>
      </c>
      <c r="CV30" s="79"/>
      <c r="CW30" s="79">
        <v>0</v>
      </c>
      <c r="CX30" s="79">
        <v>0</v>
      </c>
      <c r="CY30" s="79">
        <v>5000</v>
      </c>
      <c r="CZ30" s="91">
        <v>115407</v>
      </c>
      <c r="DA30" s="79">
        <v>73000</v>
      </c>
      <c r="DB30" s="79">
        <v>138746.13118393024</v>
      </c>
      <c r="DC30" s="82">
        <v>0</v>
      </c>
      <c r="DD30" s="79">
        <v>0</v>
      </c>
      <c r="DE30" s="79"/>
      <c r="DF30" s="79">
        <v>24300</v>
      </c>
      <c r="DG30" s="79">
        <v>0</v>
      </c>
      <c r="DH30" s="83">
        <v>0</v>
      </c>
      <c r="DI30" s="79">
        <v>14751.770142366748</v>
      </c>
      <c r="DJ30" s="79">
        <v>10762499.480125673</v>
      </c>
      <c r="DK30" s="84">
        <v>6292.5198743268847</v>
      </c>
      <c r="DL30" s="84">
        <v>0</v>
      </c>
      <c r="DM30" s="84">
        <f t="shared" si="16"/>
        <v>10768792</v>
      </c>
      <c r="DN30" s="84">
        <f>'[7]FY20 Initial Budget Alloca FTE'!F30*DN$1</f>
        <v>1241843.2861538462</v>
      </c>
      <c r="DO30" s="81">
        <f t="shared" si="0"/>
        <v>70000</v>
      </c>
      <c r="DP30" s="81">
        <f t="shared" si="17"/>
        <v>1459996.695203163</v>
      </c>
      <c r="DQ30" s="74">
        <f t="shared" si="18"/>
        <v>-288153.40904931678</v>
      </c>
      <c r="DR30" s="85">
        <f t="shared" si="25"/>
        <v>-0.23203685381411224</v>
      </c>
      <c r="DS30" s="81">
        <f t="shared" si="19"/>
        <v>6355380.4477143381</v>
      </c>
      <c r="DT30" s="81">
        <f t="shared" si="1"/>
        <v>2013968.5038616022</v>
      </c>
      <c r="DU30" s="81">
        <f t="shared" si="2"/>
        <v>218228.55239588866</v>
      </c>
      <c r="DV30" s="81">
        <f t="shared" si="3"/>
        <v>342982.49000000005</v>
      </c>
      <c r="DW30" s="81">
        <f t="shared" si="4"/>
        <v>0</v>
      </c>
      <c r="DX30" s="81">
        <f t="shared" si="5"/>
        <v>0</v>
      </c>
      <c r="DY30" s="81">
        <f t="shared" si="6"/>
        <v>0</v>
      </c>
      <c r="DZ30" s="81">
        <f t="shared" si="7"/>
        <v>590096.19999999995</v>
      </c>
      <c r="EA30" s="74">
        <f t="shared" si="8"/>
        <v>-288153.40904931678</v>
      </c>
      <c r="EB30" s="81">
        <f t="shared" si="9"/>
        <v>70000</v>
      </c>
      <c r="EC30" s="81">
        <f t="shared" si="9"/>
        <v>1459996.695203163</v>
      </c>
      <c r="ED30" s="86">
        <v>0</v>
      </c>
      <c r="EE30" s="81">
        <f t="shared" si="21"/>
        <v>1241843.2861538462</v>
      </c>
      <c r="EF30" s="81">
        <f t="shared" si="22"/>
        <v>10762499.480125675</v>
      </c>
      <c r="EG30" s="81">
        <f t="shared" si="10"/>
        <v>0</v>
      </c>
      <c r="EH30" s="81">
        <v>9223151.047087824</v>
      </c>
      <c r="EI30" s="84">
        <f t="shared" si="28"/>
        <v>10172403.280125674</v>
      </c>
      <c r="EJ30" s="74">
        <f t="shared" si="12"/>
        <v>1539348.4330378491</v>
      </c>
      <c r="EK30" s="74">
        <f t="shared" si="13"/>
        <v>949252.23303784989</v>
      </c>
      <c r="EM30" s="88">
        <f t="shared" si="14"/>
        <v>730</v>
      </c>
      <c r="EN30" s="74">
        <v>616</v>
      </c>
      <c r="EO30" s="74">
        <f t="shared" si="15"/>
        <v>114</v>
      </c>
      <c r="EP30" s="94">
        <v>667</v>
      </c>
      <c r="EQ30" s="74">
        <f t="shared" si="23"/>
        <v>51</v>
      </c>
      <c r="ER30" s="72">
        <v>556</v>
      </c>
      <c r="ES30" s="74">
        <f t="shared" si="24"/>
        <v>174</v>
      </c>
      <c r="ET30" s="74"/>
      <c r="EU30" s="74"/>
      <c r="EV30" s="74"/>
      <c r="EW30" s="89"/>
      <c r="EX30" s="81">
        <f t="shared" si="26"/>
        <v>9209696.1659347545</v>
      </c>
      <c r="EY30" s="81">
        <f t="shared" si="27"/>
        <v>1552803.3141909232</v>
      </c>
    </row>
    <row r="31" spans="1:155" x14ac:dyDescent="0.25">
      <c r="A31" s="76">
        <v>457</v>
      </c>
      <c r="B31" s="76" t="s">
        <v>169</v>
      </c>
      <c r="C31" s="77" t="s">
        <v>138</v>
      </c>
      <c r="D31" s="41">
        <v>6</v>
      </c>
      <c r="E31" s="78">
        <v>754</v>
      </c>
      <c r="F31" s="78">
        <v>557.2361445783132</v>
      </c>
      <c r="G31" s="79">
        <v>173177.12015668923</v>
      </c>
      <c r="H31" s="79">
        <v>109114.27619794433</v>
      </c>
      <c r="I31" s="79">
        <v>350988.05039172305</v>
      </c>
      <c r="J31" s="79">
        <v>0</v>
      </c>
      <c r="K31" s="79">
        <v>416117.0741453573</v>
      </c>
      <c r="L31" s="79">
        <v>81577.320156689224</v>
      </c>
      <c r="M31" s="79">
        <v>59319.676384927567</v>
      </c>
      <c r="N31" s="79">
        <v>84807.120131362375</v>
      </c>
      <c r="O31" s="79">
        <v>50130.026384927565</v>
      </c>
      <c r="P31" s="79">
        <v>62573.586746740584</v>
      </c>
      <c r="Q31" s="79"/>
      <c r="R31" s="79">
        <v>69375.836746740591</v>
      </c>
      <c r="S31" s="79">
        <v>54629.386746740587</v>
      </c>
      <c r="T31" s="79">
        <v>342711.1572271841</v>
      </c>
      <c r="U31" s="79">
        <v>109114.27619794433</v>
      </c>
      <c r="V31" s="79">
        <v>0</v>
      </c>
      <c r="W31" s="79">
        <v>0</v>
      </c>
      <c r="X31" s="79">
        <v>0</v>
      </c>
      <c r="Y31" s="79">
        <v>0</v>
      </c>
      <c r="Z31" s="79"/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f>E31/24*AV$121</f>
        <v>3428006.843885418</v>
      </c>
      <c r="AW31" s="79">
        <f>3998996.80791777-AV31</f>
        <v>570989.96403235197</v>
      </c>
      <c r="AX31" s="79">
        <v>218228.55239588866</v>
      </c>
      <c r="AY31" s="79">
        <v>545571.38098972163</v>
      </c>
      <c r="AZ31" s="79">
        <v>2182285.5239588865</v>
      </c>
      <c r="BA31" s="79">
        <v>378428.89023420331</v>
      </c>
      <c r="BB31" s="79">
        <v>48063.47638492757</v>
      </c>
      <c r="BC31" s="79">
        <v>0</v>
      </c>
      <c r="BD31" s="79">
        <v>109114.27619794433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/>
      <c r="BK31" s="79">
        <v>65000</v>
      </c>
      <c r="BL31" s="79"/>
      <c r="BM31" s="79">
        <v>365574.24</v>
      </c>
      <c r="BN31" s="79">
        <v>5817.23</v>
      </c>
      <c r="BO31" s="79">
        <v>0</v>
      </c>
      <c r="BP31" s="79">
        <v>105202</v>
      </c>
      <c r="BQ31" s="79">
        <v>0</v>
      </c>
      <c r="BR31" s="79">
        <v>0</v>
      </c>
      <c r="BS31" s="79">
        <v>109114.27619794433</v>
      </c>
      <c r="BT31" s="79">
        <v>0</v>
      </c>
      <c r="BU31" s="79">
        <v>0</v>
      </c>
      <c r="BV31" s="80">
        <v>140395.22015668923</v>
      </c>
      <c r="BW31" s="80">
        <v>21840</v>
      </c>
      <c r="BX31" s="80">
        <v>37160</v>
      </c>
      <c r="BY31" s="80">
        <v>0</v>
      </c>
      <c r="BZ31" s="80">
        <v>55000</v>
      </c>
      <c r="CA31" s="80">
        <v>0</v>
      </c>
      <c r="CB31" s="80">
        <v>105202</v>
      </c>
      <c r="CC31" s="80">
        <v>23700</v>
      </c>
      <c r="CD31" s="79">
        <v>218228.55239588866</v>
      </c>
      <c r="CE31" s="79">
        <v>0</v>
      </c>
      <c r="CF31" s="79">
        <v>128098.27015668922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590096.19999999995</v>
      </c>
      <c r="CN31" s="79">
        <v>0</v>
      </c>
      <c r="CO31" s="79">
        <v>105202</v>
      </c>
      <c r="CP31" s="79">
        <v>0</v>
      </c>
      <c r="CQ31" s="79">
        <v>11144.722891566264</v>
      </c>
      <c r="CR31" s="79">
        <v>0</v>
      </c>
      <c r="CS31" s="79">
        <v>101281.40909090909</v>
      </c>
      <c r="CT31" s="79"/>
      <c r="CU31" s="79">
        <v>105202</v>
      </c>
      <c r="CV31" s="79"/>
      <c r="CW31" s="79">
        <v>0</v>
      </c>
      <c r="CX31" s="79">
        <v>0</v>
      </c>
      <c r="CY31" s="79">
        <v>0</v>
      </c>
      <c r="CZ31" s="79">
        <v>0</v>
      </c>
      <c r="DA31" s="79">
        <v>75400</v>
      </c>
      <c r="DB31" s="79">
        <v>158891.60987946537</v>
      </c>
      <c r="DC31" s="82">
        <v>0</v>
      </c>
      <c r="DD31" s="79">
        <v>44861</v>
      </c>
      <c r="DE31" s="79"/>
      <c r="DF31" s="79">
        <v>39900</v>
      </c>
      <c r="DG31" s="79">
        <v>0</v>
      </c>
      <c r="DH31" s="83">
        <v>0</v>
      </c>
      <c r="DI31" s="79">
        <v>15990.231493983378</v>
      </c>
      <c r="DJ31" s="79">
        <v>12056634.546463469</v>
      </c>
      <c r="DK31" s="84">
        <v>105202.45353653096</v>
      </c>
      <c r="DL31" s="84">
        <v>0</v>
      </c>
      <c r="DM31" s="84">
        <f t="shared" si="16"/>
        <v>12161837</v>
      </c>
      <c r="DN31" s="84">
        <f>'[7]FY20 Initial Budget Alloca FTE'!F31*DN$1</f>
        <v>1223612.5604337349</v>
      </c>
      <c r="DO31" s="81">
        <f t="shared" si="0"/>
        <v>65000</v>
      </c>
      <c r="DP31" s="81">
        <f t="shared" si="17"/>
        <v>1292746.453435241</v>
      </c>
      <c r="DQ31" s="74">
        <f t="shared" si="18"/>
        <v>-134133.89300150611</v>
      </c>
      <c r="DR31" s="85">
        <f t="shared" si="25"/>
        <v>-0.10962121290579067</v>
      </c>
      <c r="DS31" s="81">
        <f t="shared" si="19"/>
        <v>6289981.2158681583</v>
      </c>
      <c r="DT31" s="81">
        <f t="shared" si="1"/>
        <v>3372577.8239636272</v>
      </c>
      <c r="DU31" s="81">
        <f t="shared" si="2"/>
        <v>109114.27619794433</v>
      </c>
      <c r="DV31" s="81">
        <f t="shared" si="3"/>
        <v>426391.47</v>
      </c>
      <c r="DW31" s="81">
        <f t="shared" si="4"/>
        <v>44861</v>
      </c>
      <c r="DX31" s="81">
        <f t="shared" si="5"/>
        <v>0</v>
      </c>
      <c r="DY31" s="81">
        <f t="shared" si="6"/>
        <v>0</v>
      </c>
      <c r="DZ31" s="81">
        <f t="shared" si="7"/>
        <v>590096.19999999995</v>
      </c>
      <c r="EA31" s="74">
        <f t="shared" si="8"/>
        <v>-134133.89300150611</v>
      </c>
      <c r="EB31" s="81">
        <f t="shared" si="9"/>
        <v>65000</v>
      </c>
      <c r="EC31" s="81">
        <f t="shared" si="9"/>
        <v>1292746.453435241</v>
      </c>
      <c r="ED31" s="86">
        <v>0</v>
      </c>
      <c r="EE31" s="81">
        <f t="shared" si="21"/>
        <v>1223612.5604337349</v>
      </c>
      <c r="EF31" s="81">
        <f t="shared" si="22"/>
        <v>12056634.546463463</v>
      </c>
      <c r="EG31" s="81">
        <f t="shared" si="10"/>
        <v>0</v>
      </c>
      <c r="EH31" s="81">
        <v>10465910.434699513</v>
      </c>
      <c r="EI31" s="84">
        <f t="shared" si="28"/>
        <v>11466538.34646347</v>
      </c>
      <c r="EJ31" s="74">
        <f t="shared" si="12"/>
        <v>1590724.111763956</v>
      </c>
      <c r="EK31" s="74">
        <f t="shared" si="13"/>
        <v>1000627.9117639568</v>
      </c>
      <c r="EM31" s="88">
        <f t="shared" si="14"/>
        <v>754</v>
      </c>
      <c r="EN31" s="74">
        <v>730</v>
      </c>
      <c r="EO31" s="74">
        <f t="shared" si="15"/>
        <v>24</v>
      </c>
      <c r="EP31" s="72">
        <v>744</v>
      </c>
      <c r="EQ31" s="74">
        <f t="shared" si="23"/>
        <v>14</v>
      </c>
      <c r="ER31" s="72">
        <v>704</v>
      </c>
      <c r="ES31" s="74">
        <f t="shared" si="24"/>
        <v>50</v>
      </c>
      <c r="ET31" s="74"/>
      <c r="EU31" s="74"/>
      <c r="EV31" s="74"/>
      <c r="EW31" s="89"/>
      <c r="EX31" s="81">
        <f t="shared" si="26"/>
        <v>10460968.134601526</v>
      </c>
      <c r="EY31" s="81">
        <f t="shared" si="27"/>
        <v>1595666.4118619408</v>
      </c>
    </row>
    <row r="32" spans="1:155" x14ac:dyDescent="0.25">
      <c r="A32" s="76">
        <v>232</v>
      </c>
      <c r="B32" s="76" t="s">
        <v>170</v>
      </c>
      <c r="C32" s="77" t="s">
        <v>135</v>
      </c>
      <c r="D32" s="41">
        <v>3</v>
      </c>
      <c r="E32" s="78">
        <v>471</v>
      </c>
      <c r="F32" s="78">
        <v>33.684873949579831</v>
      </c>
      <c r="G32" s="79">
        <v>173177.12015668923</v>
      </c>
      <c r="H32" s="79">
        <v>109114.27619794433</v>
      </c>
      <c r="I32" s="79">
        <v>168474.26418802707</v>
      </c>
      <c r="J32" s="79">
        <v>0</v>
      </c>
      <c r="K32" s="79">
        <v>0</v>
      </c>
      <c r="L32" s="79">
        <v>81577.320156689224</v>
      </c>
      <c r="M32" s="79">
        <v>59319.676384927567</v>
      </c>
      <c r="N32" s="79">
        <v>53562.391661913083</v>
      </c>
      <c r="O32" s="79">
        <v>0</v>
      </c>
      <c r="P32" s="79">
        <v>0</v>
      </c>
      <c r="Q32" s="79"/>
      <c r="R32" s="79">
        <v>69375.836746740591</v>
      </c>
      <c r="S32" s="79">
        <v>54629.386746740587</v>
      </c>
      <c r="T32" s="79">
        <v>97917.473493481171</v>
      </c>
      <c r="U32" s="79">
        <v>109114.27619794433</v>
      </c>
      <c r="V32" s="79">
        <v>109114.27619794433</v>
      </c>
      <c r="W32" s="79">
        <v>109114.27619794433</v>
      </c>
      <c r="X32" s="79">
        <v>109114.27619794433</v>
      </c>
      <c r="Y32" s="79">
        <v>163671.41429691651</v>
      </c>
      <c r="Z32" s="79"/>
      <c r="AA32" s="79">
        <v>0</v>
      </c>
      <c r="AB32" s="79">
        <v>0</v>
      </c>
      <c r="AC32" s="79">
        <v>0</v>
      </c>
      <c r="AD32" s="79">
        <v>0</v>
      </c>
      <c r="AE32" s="79">
        <v>218228.55239588866</v>
      </c>
      <c r="AF32" s="79">
        <v>68805.252769855142</v>
      </c>
      <c r="AG32" s="79">
        <v>327342.82859383302</v>
      </c>
      <c r="AH32" s="79">
        <v>103207.87915478271</v>
      </c>
      <c r="AI32" s="79">
        <v>327342.82859383302</v>
      </c>
      <c r="AJ32" s="79">
        <v>327342.82859383302</v>
      </c>
      <c r="AK32" s="79">
        <v>436457.10479177732</v>
      </c>
      <c r="AL32" s="79">
        <v>327342.82859383302</v>
      </c>
      <c r="AM32" s="79">
        <v>327342.82859383302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/>
      <c r="AW32" s="79">
        <v>0</v>
      </c>
      <c r="AX32" s="79">
        <v>54557.138098972166</v>
      </c>
      <c r="AY32" s="79">
        <v>109114.27619794433</v>
      </c>
      <c r="AZ32" s="79">
        <v>436457.10479177732</v>
      </c>
      <c r="BA32" s="79">
        <v>34402.626384927571</v>
      </c>
      <c r="BB32" s="79">
        <v>0</v>
      </c>
      <c r="BC32" s="79">
        <v>0</v>
      </c>
      <c r="BD32" s="79">
        <v>327342.82859383302</v>
      </c>
      <c r="BE32" s="79">
        <v>0</v>
      </c>
      <c r="BF32" s="79">
        <v>0</v>
      </c>
      <c r="BG32" s="79">
        <v>0</v>
      </c>
      <c r="BH32" s="79">
        <v>0</v>
      </c>
      <c r="BI32" s="79">
        <v>0</v>
      </c>
      <c r="BJ32" s="79"/>
      <c r="BK32" s="79">
        <v>0</v>
      </c>
      <c r="BL32" s="79"/>
      <c r="BM32" s="79">
        <v>0</v>
      </c>
      <c r="BN32" s="79">
        <v>0</v>
      </c>
      <c r="BO32" s="79">
        <v>11900</v>
      </c>
      <c r="BP32" s="79">
        <v>0</v>
      </c>
      <c r="BQ32" s="79">
        <v>0</v>
      </c>
      <c r="BR32" s="79">
        <v>0</v>
      </c>
      <c r="BS32" s="79">
        <v>0</v>
      </c>
      <c r="BT32" s="79">
        <v>0</v>
      </c>
      <c r="BU32" s="79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79">
        <v>0</v>
      </c>
      <c r="CE32" s="79">
        <v>0</v>
      </c>
      <c r="CF32" s="79">
        <v>0</v>
      </c>
      <c r="CG32" s="79">
        <v>0</v>
      </c>
      <c r="CH32" s="79">
        <v>0</v>
      </c>
      <c r="CI32" s="79">
        <v>0</v>
      </c>
      <c r="CJ32" s="79">
        <v>0</v>
      </c>
      <c r="CK32" s="79">
        <v>0</v>
      </c>
      <c r="CL32" s="79">
        <v>0</v>
      </c>
      <c r="CM32" s="79">
        <v>236038.47999999998</v>
      </c>
      <c r="CN32" s="79">
        <v>0</v>
      </c>
      <c r="CO32" s="79">
        <v>0</v>
      </c>
      <c r="CP32" s="79">
        <v>0</v>
      </c>
      <c r="CQ32" s="79">
        <v>0</v>
      </c>
      <c r="CR32" s="79">
        <v>0</v>
      </c>
      <c r="CS32" s="79">
        <v>24788.777108433736</v>
      </c>
      <c r="CT32" s="79"/>
      <c r="CU32" s="79">
        <v>0</v>
      </c>
      <c r="CV32" s="79"/>
      <c r="CW32" s="79">
        <v>0</v>
      </c>
      <c r="CX32" s="79">
        <v>0</v>
      </c>
      <c r="CY32" s="79">
        <v>0</v>
      </c>
      <c r="CZ32" s="79">
        <v>0</v>
      </c>
      <c r="DA32" s="79">
        <v>47100</v>
      </c>
      <c r="DB32" s="79">
        <v>78770.26705262941</v>
      </c>
      <c r="DC32" s="82">
        <v>0</v>
      </c>
      <c r="DD32" s="79">
        <v>0</v>
      </c>
      <c r="DE32" s="79"/>
      <c r="DF32" s="79">
        <v>3000</v>
      </c>
      <c r="DG32" s="79">
        <v>0</v>
      </c>
      <c r="DH32" s="83">
        <v>0</v>
      </c>
      <c r="DI32" s="79">
        <v>11240.25625293383</v>
      </c>
      <c r="DJ32" s="79">
        <v>5294160.6951318327</v>
      </c>
      <c r="DK32" s="84">
        <v>54557.304868167266</v>
      </c>
      <c r="DL32" s="84">
        <v>0</v>
      </c>
      <c r="DM32" s="84">
        <f t="shared" si="16"/>
        <v>5348718</v>
      </c>
      <c r="DN32" s="84">
        <f>'[7]FY20 Initial Budget Alloca FTE'!F32*DN$1</f>
        <v>73967.267310924377</v>
      </c>
      <c r="DO32" s="81">
        <f t="shared" si="0"/>
        <v>0</v>
      </c>
      <c r="DP32" s="81">
        <f t="shared" si="17"/>
        <v>3000</v>
      </c>
      <c r="DQ32" s="74">
        <f t="shared" si="18"/>
        <v>70967.267310924377</v>
      </c>
      <c r="DR32" s="85">
        <f t="shared" si="25"/>
        <v>0.95944151907911668</v>
      </c>
      <c r="DS32" s="81">
        <f t="shared" si="19"/>
        <v>4010380.9737534537</v>
      </c>
      <c r="DT32" s="81">
        <f t="shared" si="1"/>
        <v>634531.14547362144</v>
      </c>
      <c r="DU32" s="81">
        <f t="shared" si="2"/>
        <v>327342.82859383302</v>
      </c>
      <c r="DV32" s="81">
        <f t="shared" si="3"/>
        <v>11900</v>
      </c>
      <c r="DW32" s="81">
        <f t="shared" si="4"/>
        <v>0</v>
      </c>
      <c r="DX32" s="81">
        <f t="shared" si="5"/>
        <v>0</v>
      </c>
      <c r="DY32" s="81">
        <f t="shared" si="6"/>
        <v>0</v>
      </c>
      <c r="DZ32" s="81">
        <f t="shared" si="7"/>
        <v>236038.47999999998</v>
      </c>
      <c r="EA32" s="74">
        <f t="shared" si="8"/>
        <v>70967.267310924377</v>
      </c>
      <c r="EB32" s="81">
        <f t="shared" si="9"/>
        <v>0</v>
      </c>
      <c r="EC32" s="81">
        <f t="shared" si="9"/>
        <v>3000</v>
      </c>
      <c r="ED32" s="86">
        <f t="shared" si="20"/>
        <v>0.95944151907911668</v>
      </c>
      <c r="EE32" s="81">
        <f t="shared" si="21"/>
        <v>73967.267310924377</v>
      </c>
      <c r="EF32" s="81">
        <f t="shared" si="22"/>
        <v>5294160.6951318327</v>
      </c>
      <c r="EG32" s="81">
        <f t="shared" si="10"/>
        <v>0</v>
      </c>
      <c r="EH32" s="81">
        <v>4701440.9628124749</v>
      </c>
      <c r="EI32" s="84">
        <f t="shared" si="28"/>
        <v>5058122.2151318323</v>
      </c>
      <c r="EJ32" s="74">
        <f t="shared" si="12"/>
        <v>592719.7323193578</v>
      </c>
      <c r="EK32" s="74">
        <f t="shared" si="13"/>
        <v>356681.25231935736</v>
      </c>
      <c r="EM32" s="88">
        <f t="shared" si="14"/>
        <v>471</v>
      </c>
      <c r="EN32" s="74">
        <v>463</v>
      </c>
      <c r="EO32" s="74">
        <f t="shared" si="15"/>
        <v>8</v>
      </c>
      <c r="EP32" s="72">
        <v>474</v>
      </c>
      <c r="EQ32" s="74">
        <f t="shared" si="23"/>
        <v>11</v>
      </c>
      <c r="ER32" s="72">
        <v>485</v>
      </c>
      <c r="ES32" s="74">
        <f t="shared" si="24"/>
        <v>-14</v>
      </c>
      <c r="ET32" s="74"/>
      <c r="EU32" s="74"/>
      <c r="EV32" s="74"/>
      <c r="EW32" s="89"/>
      <c r="EX32" s="81">
        <f t="shared" si="26"/>
        <v>4892563.1709707705</v>
      </c>
      <c r="EY32" s="81">
        <f t="shared" si="27"/>
        <v>401597.52416106313</v>
      </c>
    </row>
    <row r="33" spans="1:155" x14ac:dyDescent="0.25">
      <c r="A33" s="76">
        <v>407</v>
      </c>
      <c r="B33" s="76" t="s">
        <v>171</v>
      </c>
      <c r="C33" s="77" t="s">
        <v>152</v>
      </c>
      <c r="D33" s="41">
        <v>6</v>
      </c>
      <c r="E33" s="78">
        <v>251</v>
      </c>
      <c r="F33" s="78">
        <v>182.77830188679246</v>
      </c>
      <c r="G33" s="79">
        <v>173177.12015668923</v>
      </c>
      <c r="H33" s="79">
        <v>109114.27619794433</v>
      </c>
      <c r="I33" s="79">
        <v>112316.1761253514</v>
      </c>
      <c r="J33" s="79">
        <v>109114.27619794433</v>
      </c>
      <c r="K33" s="79">
        <v>0</v>
      </c>
      <c r="L33" s="79">
        <v>40788.660078344612</v>
      </c>
      <c r="M33" s="79">
        <v>59319.676384927567</v>
      </c>
      <c r="N33" s="79">
        <v>0</v>
      </c>
      <c r="O33" s="79">
        <v>0</v>
      </c>
      <c r="P33" s="79">
        <v>0</v>
      </c>
      <c r="Q33" s="79"/>
      <c r="R33" s="79">
        <v>69375.836746740591</v>
      </c>
      <c r="S33" s="79">
        <v>54629.386746740587</v>
      </c>
      <c r="T33" s="79">
        <v>146876.21024022176</v>
      </c>
      <c r="U33" s="79">
        <v>54557.138098972166</v>
      </c>
      <c r="V33" s="79">
        <v>0</v>
      </c>
      <c r="W33" s="79">
        <v>0</v>
      </c>
      <c r="X33" s="79">
        <v>0</v>
      </c>
      <c r="Y33" s="79">
        <v>0</v>
      </c>
      <c r="Z33" s="79"/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79">
        <v>0</v>
      </c>
      <c r="AM33" s="79">
        <v>0</v>
      </c>
      <c r="AN33" s="79">
        <v>458279.96003136621</v>
      </c>
      <c r="AO33" s="79">
        <v>480102.81527095509</v>
      </c>
      <c r="AP33" s="79">
        <v>305519.97335424408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/>
      <c r="AW33" s="79">
        <v>0</v>
      </c>
      <c r="AX33" s="79">
        <v>109114.27619794433</v>
      </c>
      <c r="AY33" s="79">
        <v>218228.55239588866</v>
      </c>
      <c r="AZ33" s="79">
        <v>872914.20958355465</v>
      </c>
      <c r="BA33" s="79">
        <v>172013.13192463786</v>
      </c>
      <c r="BB33" s="79">
        <v>48063.47638492757</v>
      </c>
      <c r="BC33" s="79">
        <v>0</v>
      </c>
      <c r="BD33" s="79">
        <v>24798.699135896437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/>
      <c r="BK33" s="79">
        <v>0</v>
      </c>
      <c r="BL33" s="79"/>
      <c r="BM33" s="79">
        <v>96503.99</v>
      </c>
      <c r="BN33" s="79">
        <v>1535.63</v>
      </c>
      <c r="BO33" s="79">
        <v>0</v>
      </c>
      <c r="BP33" s="79">
        <v>105202</v>
      </c>
      <c r="BQ33" s="79">
        <v>0</v>
      </c>
      <c r="BR33" s="79">
        <v>140395.22015668923</v>
      </c>
      <c r="BS33" s="79">
        <v>0</v>
      </c>
      <c r="BT33" s="79">
        <v>0</v>
      </c>
      <c r="BU33" s="79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80">
        <v>0</v>
      </c>
      <c r="CC33" s="80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f>327342.828593833-CJ33</f>
        <v>218228.55239588869</v>
      </c>
      <c r="CJ33" s="79">
        <f>1*CJ$121</f>
        <v>109114.27619794433</v>
      </c>
      <c r="CK33" s="79">
        <v>23000</v>
      </c>
      <c r="CL33" s="79">
        <v>5000</v>
      </c>
      <c r="CM33" s="79">
        <v>362651.6</v>
      </c>
      <c r="CN33" s="79">
        <v>100000</v>
      </c>
      <c r="CO33" s="79">
        <v>0</v>
      </c>
      <c r="CP33" s="79">
        <v>75000</v>
      </c>
      <c r="CQ33" s="79">
        <v>3655.566037735849</v>
      </c>
      <c r="CR33" s="79">
        <v>0</v>
      </c>
      <c r="CS33" s="79">
        <v>20315.022102425875</v>
      </c>
      <c r="CT33" s="79"/>
      <c r="CU33" s="79">
        <v>0</v>
      </c>
      <c r="CV33" s="79"/>
      <c r="CW33" s="79">
        <v>0</v>
      </c>
      <c r="CX33" s="79">
        <v>0</v>
      </c>
      <c r="CY33" s="79">
        <v>0</v>
      </c>
      <c r="CZ33" s="79">
        <v>0</v>
      </c>
      <c r="DA33" s="79">
        <v>25100</v>
      </c>
      <c r="DB33" s="79">
        <v>69089.026790061398</v>
      </c>
      <c r="DC33" s="82">
        <v>0</v>
      </c>
      <c r="DD33" s="79">
        <v>16463</v>
      </c>
      <c r="DE33" s="79"/>
      <c r="DF33" s="79">
        <v>35350</v>
      </c>
      <c r="DG33" s="79">
        <v>0</v>
      </c>
      <c r="DH33" s="83">
        <v>0</v>
      </c>
      <c r="DI33" s="79">
        <v>20019.552728820861</v>
      </c>
      <c r="DJ33" s="79">
        <v>5024907.7349340366</v>
      </c>
      <c r="DK33" s="84">
        <v>0.71506596356630325</v>
      </c>
      <c r="DL33" s="84">
        <v>0</v>
      </c>
      <c r="DM33" s="84">
        <f t="shared" si="16"/>
        <v>5024908.45</v>
      </c>
      <c r="DN33" s="84">
        <f>'[7]FY20 Initial Budget Alloca FTE'!F33*DN$1</f>
        <v>401355.56198113214</v>
      </c>
      <c r="DO33" s="81">
        <f t="shared" si="0"/>
        <v>0</v>
      </c>
      <c r="DP33" s="81">
        <f t="shared" si="17"/>
        <v>363515.06239236944</v>
      </c>
      <c r="DQ33" s="74">
        <f t="shared" si="18"/>
        <v>37840.499588762701</v>
      </c>
      <c r="DR33" s="85">
        <f t="shared" si="25"/>
        <v>9.4281737125999007E-2</v>
      </c>
      <c r="DS33" s="81">
        <f t="shared" si="19"/>
        <v>2701265.607330055</v>
      </c>
      <c r="DT33" s="81">
        <f t="shared" si="1"/>
        <v>1420333.6464869531</v>
      </c>
      <c r="DU33" s="81">
        <f t="shared" si="2"/>
        <v>24798.699135896437</v>
      </c>
      <c r="DV33" s="81">
        <f t="shared" si="3"/>
        <v>98039.62000000001</v>
      </c>
      <c r="DW33" s="81">
        <f t="shared" si="4"/>
        <v>16463</v>
      </c>
      <c r="DX33" s="81">
        <f t="shared" si="5"/>
        <v>0</v>
      </c>
      <c r="DY33" s="81">
        <f t="shared" si="6"/>
        <v>0</v>
      </c>
      <c r="DZ33" s="81">
        <f t="shared" si="7"/>
        <v>362651.6</v>
      </c>
      <c r="EA33" s="74">
        <f t="shared" si="8"/>
        <v>37840.499588762701</v>
      </c>
      <c r="EB33" s="81">
        <f t="shared" si="9"/>
        <v>0</v>
      </c>
      <c r="EC33" s="81">
        <f t="shared" si="9"/>
        <v>363515.06239236944</v>
      </c>
      <c r="ED33" s="86">
        <f t="shared" si="20"/>
        <v>9.4281737125999007E-2</v>
      </c>
      <c r="EE33" s="81">
        <f t="shared" si="21"/>
        <v>401355.56198113214</v>
      </c>
      <c r="EF33" s="81">
        <f t="shared" si="22"/>
        <v>5024907.7349340357</v>
      </c>
      <c r="EG33" s="81">
        <f t="shared" si="10"/>
        <v>0</v>
      </c>
      <c r="EH33" s="81">
        <v>4175092.1647050232</v>
      </c>
      <c r="EI33" s="84">
        <f t="shared" si="28"/>
        <v>4662256.134934037</v>
      </c>
      <c r="EJ33" s="74">
        <f t="shared" si="12"/>
        <v>849815.57022901345</v>
      </c>
      <c r="EK33" s="74">
        <f t="shared" si="13"/>
        <v>487163.97022901382</v>
      </c>
      <c r="EM33" s="88">
        <f t="shared" si="14"/>
        <v>251</v>
      </c>
      <c r="EN33" s="74">
        <v>216</v>
      </c>
      <c r="EO33" s="74">
        <f t="shared" si="15"/>
        <v>35</v>
      </c>
      <c r="EP33" s="72">
        <v>232</v>
      </c>
      <c r="EQ33" s="74">
        <f t="shared" si="23"/>
        <v>16</v>
      </c>
      <c r="ER33" s="72">
        <v>245</v>
      </c>
      <c r="ES33" s="74">
        <f t="shared" si="24"/>
        <v>6</v>
      </c>
      <c r="ET33" s="74"/>
      <c r="EU33" s="74"/>
      <c r="EV33" s="74"/>
      <c r="EW33" s="89"/>
      <c r="EX33" s="81">
        <f t="shared" si="26"/>
        <v>4082129.6238058694</v>
      </c>
      <c r="EY33" s="81">
        <f t="shared" si="27"/>
        <v>833663.83493022318</v>
      </c>
    </row>
    <row r="34" spans="1:155" x14ac:dyDescent="0.25">
      <c r="A34" s="76">
        <v>471</v>
      </c>
      <c r="B34" s="76" t="s">
        <v>172</v>
      </c>
      <c r="C34" s="77" t="s">
        <v>138</v>
      </c>
      <c r="D34" s="41">
        <v>2</v>
      </c>
      <c r="E34" s="78">
        <v>572</v>
      </c>
      <c r="F34" s="78">
        <v>181.02325581395348</v>
      </c>
      <c r="G34" s="79">
        <v>173177.12015668923</v>
      </c>
      <c r="H34" s="79">
        <v>109114.27619794433</v>
      </c>
      <c r="I34" s="79">
        <v>266750.91829770955</v>
      </c>
      <c r="J34" s="79">
        <v>0</v>
      </c>
      <c r="K34" s="79">
        <v>297226.48153239809</v>
      </c>
      <c r="L34" s="79">
        <v>81577.320156689224</v>
      </c>
      <c r="M34" s="79">
        <v>59319.676384927567</v>
      </c>
      <c r="N34" s="79">
        <v>62489.456938898591</v>
      </c>
      <c r="O34" s="79">
        <v>50130.026384927565</v>
      </c>
      <c r="P34" s="79">
        <v>62573.586746740584</v>
      </c>
      <c r="Q34" s="79"/>
      <c r="R34" s="79">
        <v>69375.836746740591</v>
      </c>
      <c r="S34" s="79">
        <v>54629.386746740587</v>
      </c>
      <c r="T34" s="79">
        <v>244793.68373370293</v>
      </c>
      <c r="U34" s="79">
        <v>109114.27619794433</v>
      </c>
      <c r="V34" s="79">
        <v>0</v>
      </c>
      <c r="W34" s="79">
        <v>0</v>
      </c>
      <c r="X34" s="79">
        <v>0</v>
      </c>
      <c r="Y34" s="79">
        <v>0</v>
      </c>
      <c r="Z34" s="79"/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f>E34/24*AV$121</f>
        <v>2600556.9160510064</v>
      </c>
      <c r="AW34" s="79">
        <f>3491656.83833422-AV34</f>
        <v>891099.92228321359</v>
      </c>
      <c r="AX34" s="79">
        <v>109114.27619794433</v>
      </c>
      <c r="AY34" s="79">
        <v>218228.55239588866</v>
      </c>
      <c r="AZ34" s="79">
        <v>327342.82859383302</v>
      </c>
      <c r="BA34" s="79">
        <v>0</v>
      </c>
      <c r="BB34" s="79">
        <v>0</v>
      </c>
      <c r="BC34" s="79">
        <v>0</v>
      </c>
      <c r="BD34" s="79">
        <v>44637.658444613589</v>
      </c>
      <c r="BE34" s="79">
        <v>0</v>
      </c>
      <c r="BF34" s="79">
        <v>0</v>
      </c>
      <c r="BG34" s="79">
        <v>0</v>
      </c>
      <c r="BH34" s="79">
        <v>0</v>
      </c>
      <c r="BI34" s="79">
        <v>0</v>
      </c>
      <c r="BJ34" s="79"/>
      <c r="BK34" s="79">
        <v>0</v>
      </c>
      <c r="BL34" s="79"/>
      <c r="BM34" s="79">
        <v>0</v>
      </c>
      <c r="BN34" s="79">
        <v>0</v>
      </c>
      <c r="BO34" s="79">
        <v>12300</v>
      </c>
      <c r="BP34" s="79">
        <v>0</v>
      </c>
      <c r="BQ34" s="79">
        <v>0</v>
      </c>
      <c r="BR34" s="79">
        <v>0</v>
      </c>
      <c r="BS34" s="79">
        <v>0</v>
      </c>
      <c r="BT34" s="79">
        <v>0</v>
      </c>
      <c r="BU34" s="79">
        <v>0</v>
      </c>
      <c r="BV34" s="80">
        <v>0</v>
      </c>
      <c r="BW34" s="80">
        <v>0</v>
      </c>
      <c r="BX34" s="80">
        <v>0</v>
      </c>
      <c r="BY34" s="80">
        <v>0</v>
      </c>
      <c r="BZ34" s="80">
        <v>0</v>
      </c>
      <c r="CA34" s="80">
        <v>0</v>
      </c>
      <c r="CB34" s="80">
        <v>0</v>
      </c>
      <c r="CC34" s="80">
        <v>0</v>
      </c>
      <c r="CD34" s="79">
        <v>0</v>
      </c>
      <c r="CE34" s="79">
        <v>0</v>
      </c>
      <c r="CF34" s="79">
        <v>0</v>
      </c>
      <c r="CG34" s="79">
        <v>0</v>
      </c>
      <c r="CH34" s="79">
        <v>0</v>
      </c>
      <c r="CI34" s="79">
        <v>0</v>
      </c>
      <c r="CJ34" s="79">
        <v>0</v>
      </c>
      <c r="CK34" s="79">
        <v>0</v>
      </c>
      <c r="CL34" s="79">
        <v>0</v>
      </c>
      <c r="CM34" s="79">
        <v>430255.1</v>
      </c>
      <c r="CN34" s="79">
        <v>0</v>
      </c>
      <c r="CO34" s="79">
        <v>0</v>
      </c>
      <c r="CP34" s="79">
        <v>0</v>
      </c>
      <c r="CQ34" s="79">
        <v>3620.4651162790697</v>
      </c>
      <c r="CR34" s="79">
        <v>0</v>
      </c>
      <c r="CS34" s="79">
        <v>79347.941176470587</v>
      </c>
      <c r="CT34" s="79"/>
      <c r="CU34" s="79">
        <v>105202</v>
      </c>
      <c r="CV34" s="79"/>
      <c r="CW34" s="79">
        <v>0</v>
      </c>
      <c r="CX34" s="79">
        <v>0</v>
      </c>
      <c r="CY34" s="79">
        <v>0</v>
      </c>
      <c r="CZ34" s="79">
        <v>0</v>
      </c>
      <c r="DA34" s="79">
        <v>57200</v>
      </c>
      <c r="DB34" s="79">
        <v>95576.912623035678</v>
      </c>
      <c r="DC34" s="82">
        <v>0</v>
      </c>
      <c r="DD34" s="79">
        <v>1388016</v>
      </c>
      <c r="DE34" s="79"/>
      <c r="DF34" s="79">
        <v>8000</v>
      </c>
      <c r="DG34" s="79">
        <v>0</v>
      </c>
      <c r="DH34" s="83">
        <v>0</v>
      </c>
      <c r="DI34" s="79">
        <v>18360.630452979611</v>
      </c>
      <c r="DJ34" s="79">
        <v>8010770.6191043369</v>
      </c>
      <c r="DK34" s="84">
        <v>0.38089566305279732</v>
      </c>
      <c r="DL34" s="84">
        <v>941386.86</v>
      </c>
      <c r="DM34" s="84">
        <f t="shared" si="16"/>
        <v>8952157.8599999994</v>
      </c>
      <c r="DN34" s="84">
        <f>'[7]FY20 Initial Budget Alloca FTE'!F34*DN$1</f>
        <v>397501.7265116279</v>
      </c>
      <c r="DO34" s="81">
        <f t="shared" si="0"/>
        <v>0</v>
      </c>
      <c r="DP34" s="81">
        <f t="shared" si="17"/>
        <v>1007922.3873994927</v>
      </c>
      <c r="DQ34" s="74">
        <f t="shared" si="18"/>
        <v>-610420.66088786477</v>
      </c>
      <c r="DR34" s="85">
        <f t="shared" si="25"/>
        <v>-1.5356427914030921</v>
      </c>
      <c r="DS34" s="81">
        <f t="shared" si="19"/>
        <v>5083374.4769604299</v>
      </c>
      <c r="DT34" s="81">
        <f t="shared" si="1"/>
        <v>654685.65718766605</v>
      </c>
      <c r="DU34" s="81">
        <f t="shared" si="2"/>
        <v>44637.658444613589</v>
      </c>
      <c r="DV34" s="81">
        <f t="shared" si="3"/>
        <v>12300</v>
      </c>
      <c r="DW34" s="81">
        <f t="shared" si="4"/>
        <v>1388016</v>
      </c>
      <c r="DX34" s="81">
        <f t="shared" si="5"/>
        <v>0</v>
      </c>
      <c r="DY34" s="81">
        <f t="shared" si="6"/>
        <v>0</v>
      </c>
      <c r="DZ34" s="81">
        <f t="shared" si="7"/>
        <v>430255.1</v>
      </c>
      <c r="EA34" s="74">
        <f t="shared" si="8"/>
        <v>-610420.66088786477</v>
      </c>
      <c r="EB34" s="81">
        <f t="shared" si="9"/>
        <v>0</v>
      </c>
      <c r="EC34" s="81">
        <f t="shared" si="9"/>
        <v>1007922.3873994927</v>
      </c>
      <c r="ED34" s="86">
        <v>0</v>
      </c>
      <c r="EE34" s="81">
        <f t="shared" si="21"/>
        <v>397501.7265116279</v>
      </c>
      <c r="EF34" s="81">
        <f t="shared" si="22"/>
        <v>8010770.6191043369</v>
      </c>
      <c r="EG34" s="81">
        <f t="shared" si="10"/>
        <v>0</v>
      </c>
      <c r="EH34" s="81">
        <v>9868655.3873092383</v>
      </c>
      <c r="EI34" s="84">
        <f t="shared" si="28"/>
        <v>7580515.5191043373</v>
      </c>
      <c r="EJ34" s="74">
        <f t="shared" si="12"/>
        <v>-1857884.7682049014</v>
      </c>
      <c r="EK34" s="74">
        <f t="shared" si="13"/>
        <v>-2288139.868204901</v>
      </c>
      <c r="EM34" s="88">
        <f t="shared" si="14"/>
        <v>572</v>
      </c>
      <c r="EN34" s="74">
        <v>593</v>
      </c>
      <c r="EO34" s="74">
        <f t="shared" si="15"/>
        <v>-21</v>
      </c>
      <c r="EP34" s="72">
        <v>545</v>
      </c>
      <c r="EQ34" s="74">
        <f t="shared" si="23"/>
        <v>-48</v>
      </c>
      <c r="ER34" s="72">
        <v>600</v>
      </c>
      <c r="ES34" s="74">
        <f t="shared" si="24"/>
        <v>-28</v>
      </c>
      <c r="ET34" s="74"/>
      <c r="EU34" s="74"/>
      <c r="EV34" s="74"/>
      <c r="EW34" s="89"/>
      <c r="EX34" s="81">
        <f t="shared" si="26"/>
        <v>5936454.200188553</v>
      </c>
      <c r="EY34" s="81">
        <f t="shared" si="27"/>
        <v>2074316.4189157854</v>
      </c>
    </row>
    <row r="35" spans="1:155" ht="16.5" customHeight="1" x14ac:dyDescent="0.25">
      <c r="A35" s="76">
        <v>318</v>
      </c>
      <c r="B35" s="76" t="s">
        <v>173</v>
      </c>
      <c r="C35" s="77" t="s">
        <v>150</v>
      </c>
      <c r="D35" s="41">
        <v>8</v>
      </c>
      <c r="E35" s="78">
        <v>493</v>
      </c>
      <c r="F35" s="78">
        <v>349.09999999999997</v>
      </c>
      <c r="G35" s="79">
        <v>173177.12015668923</v>
      </c>
      <c r="H35" s="79">
        <v>109114.27619794433</v>
      </c>
      <c r="I35" s="79">
        <v>182513.78620369601</v>
      </c>
      <c r="J35" s="79">
        <v>109114.27619794433</v>
      </c>
      <c r="K35" s="79">
        <v>0</v>
      </c>
      <c r="L35" s="79">
        <v>81577.320156689224</v>
      </c>
      <c r="M35" s="79">
        <v>59319.676384927567</v>
      </c>
      <c r="N35" s="79">
        <v>53562.391661913083</v>
      </c>
      <c r="O35" s="79">
        <v>0</v>
      </c>
      <c r="P35" s="79">
        <v>0</v>
      </c>
      <c r="Q35" s="79"/>
      <c r="R35" s="79">
        <v>69375.836746740591</v>
      </c>
      <c r="S35" s="79">
        <v>54629.386746740587</v>
      </c>
      <c r="T35" s="79">
        <v>97917.473493481171</v>
      </c>
      <c r="U35" s="79">
        <v>109114.27619794433</v>
      </c>
      <c r="V35" s="79">
        <v>109114.27619794433</v>
      </c>
      <c r="W35" s="79">
        <v>109114.27619794433</v>
      </c>
      <c r="X35" s="79">
        <v>109114.27619794433</v>
      </c>
      <c r="Y35" s="79">
        <v>0</v>
      </c>
      <c r="Z35" s="79"/>
      <c r="AA35" s="79">
        <v>327342.82859383302</v>
      </c>
      <c r="AB35" s="79">
        <v>103207.87915478271</v>
      </c>
      <c r="AC35" s="79">
        <v>109114.27619794433</v>
      </c>
      <c r="AD35" s="79">
        <v>34402.626384927571</v>
      </c>
      <c r="AE35" s="79">
        <v>327342.82859383302</v>
      </c>
      <c r="AF35" s="79">
        <v>103207.87915478271</v>
      </c>
      <c r="AG35" s="79">
        <v>218228.55239588866</v>
      </c>
      <c r="AH35" s="79">
        <v>68805.252769855142</v>
      </c>
      <c r="AI35" s="79">
        <v>218228.55239588866</v>
      </c>
      <c r="AJ35" s="79">
        <v>218228.55239588866</v>
      </c>
      <c r="AK35" s="79">
        <v>327342.82859383302</v>
      </c>
      <c r="AL35" s="79">
        <v>218228.55239588866</v>
      </c>
      <c r="AM35" s="79">
        <v>218228.55239588866</v>
      </c>
      <c r="AN35" s="79">
        <v>218228.55239588866</v>
      </c>
      <c r="AO35" s="79">
        <v>272785.69049486081</v>
      </c>
      <c r="AP35" s="79">
        <v>130937.13143753319</v>
      </c>
      <c r="AQ35" s="79">
        <v>0</v>
      </c>
      <c r="AR35" s="79">
        <v>0</v>
      </c>
      <c r="AS35" s="79">
        <v>0</v>
      </c>
      <c r="AT35" s="79">
        <v>0</v>
      </c>
      <c r="AU35" s="79">
        <v>0</v>
      </c>
      <c r="AV35" s="79"/>
      <c r="AW35" s="79">
        <v>0</v>
      </c>
      <c r="AX35" s="79">
        <v>109114.27619794433</v>
      </c>
      <c r="AY35" s="79">
        <v>327342.82859383302</v>
      </c>
      <c r="AZ35" s="79">
        <v>763799.93338561035</v>
      </c>
      <c r="BA35" s="79">
        <v>0</v>
      </c>
      <c r="BB35" s="79">
        <v>0</v>
      </c>
      <c r="BC35" s="79">
        <v>0</v>
      </c>
      <c r="BD35" s="79">
        <v>4959.7398271792881</v>
      </c>
      <c r="BE35" s="79">
        <v>0</v>
      </c>
      <c r="BF35" s="79">
        <v>0</v>
      </c>
      <c r="BG35" s="79">
        <v>0</v>
      </c>
      <c r="BH35" s="79">
        <v>0</v>
      </c>
      <c r="BI35" s="79">
        <v>0</v>
      </c>
      <c r="BJ35" s="79"/>
      <c r="BK35" s="79">
        <v>0</v>
      </c>
      <c r="BL35" s="79">
        <v>35539.5</v>
      </c>
      <c r="BM35" s="79">
        <v>305199.82</v>
      </c>
      <c r="BN35" s="79">
        <v>4856.5200000000004</v>
      </c>
      <c r="BO35" s="79">
        <v>0</v>
      </c>
      <c r="BP35" s="79">
        <v>0</v>
      </c>
      <c r="BQ35" s="79">
        <v>0</v>
      </c>
      <c r="BR35" s="79">
        <v>0</v>
      </c>
      <c r="BS35" s="79">
        <v>0</v>
      </c>
      <c r="BT35" s="79">
        <v>0</v>
      </c>
      <c r="BU35" s="79">
        <v>0</v>
      </c>
      <c r="BV35" s="80">
        <v>0</v>
      </c>
      <c r="BW35" s="80">
        <v>0</v>
      </c>
      <c r="BX35" s="80">
        <v>0</v>
      </c>
      <c r="BY35" s="80">
        <v>0</v>
      </c>
      <c r="BZ35" s="80">
        <v>0</v>
      </c>
      <c r="CA35" s="80">
        <v>0</v>
      </c>
      <c r="CB35" s="80">
        <v>0</v>
      </c>
      <c r="CC35" s="80">
        <v>0</v>
      </c>
      <c r="CD35" s="79">
        <v>0</v>
      </c>
      <c r="CE35" s="79">
        <v>0</v>
      </c>
      <c r="CF35" s="79">
        <v>0</v>
      </c>
      <c r="CG35" s="79">
        <v>0</v>
      </c>
      <c r="CH35" s="79">
        <v>0</v>
      </c>
      <c r="CI35" s="79">
        <v>218228.55239588866</v>
      </c>
      <c r="CJ35" s="79">
        <v>0</v>
      </c>
      <c r="CK35" s="79">
        <v>23000</v>
      </c>
      <c r="CL35" s="79">
        <v>5000</v>
      </c>
      <c r="CM35" s="79">
        <v>108165.6</v>
      </c>
      <c r="CN35" s="79">
        <v>100000</v>
      </c>
      <c r="CO35" s="79">
        <v>0</v>
      </c>
      <c r="CP35" s="79">
        <v>0</v>
      </c>
      <c r="CQ35" s="79">
        <v>6981.9999999999991</v>
      </c>
      <c r="CR35" s="79">
        <v>0</v>
      </c>
      <c r="CS35" s="79">
        <v>29306.863636363636</v>
      </c>
      <c r="CT35" s="79"/>
      <c r="CU35" s="79">
        <v>0</v>
      </c>
      <c r="CV35" s="79"/>
      <c r="CW35" s="79">
        <v>0</v>
      </c>
      <c r="CX35" s="79">
        <v>0</v>
      </c>
      <c r="CY35" s="79">
        <v>0</v>
      </c>
      <c r="CZ35" s="79">
        <v>0</v>
      </c>
      <c r="DA35" s="79">
        <v>49300</v>
      </c>
      <c r="DB35" s="79">
        <v>97631.438689737304</v>
      </c>
      <c r="DC35" s="82">
        <v>0</v>
      </c>
      <c r="DD35" s="79">
        <v>15363.214285714286</v>
      </c>
      <c r="DE35" s="79"/>
      <c r="DF35" s="79">
        <v>24900</v>
      </c>
      <c r="DG35" s="79">
        <v>0</v>
      </c>
      <c r="DH35" s="83">
        <v>0</v>
      </c>
      <c r="DI35" s="79">
        <v>13658.762619680187</v>
      </c>
      <c r="DJ35" s="79">
        <v>6733769.9715023329</v>
      </c>
      <c r="DK35" s="84">
        <v>284025.02849766705</v>
      </c>
      <c r="DL35" s="84">
        <v>389619.44</v>
      </c>
      <c r="DM35" s="84">
        <f t="shared" si="16"/>
        <v>7407414.4400000004</v>
      </c>
      <c r="DN35" s="84">
        <f>'[7]FY20 Initial Budget Alloca FTE'!F35*DN$1</f>
        <v>766574.72600000002</v>
      </c>
      <c r="DO35" s="81">
        <f t="shared" si="0"/>
        <v>0</v>
      </c>
      <c r="DP35" s="81">
        <f t="shared" si="17"/>
        <v>31882</v>
      </c>
      <c r="DQ35" s="74">
        <f t="shared" si="18"/>
        <v>734692.72600000002</v>
      </c>
      <c r="DR35" s="85">
        <f t="shared" si="25"/>
        <v>0.9584097950028162</v>
      </c>
      <c r="DS35" s="81">
        <f t="shared" si="19"/>
        <v>4328393.3132120511</v>
      </c>
      <c r="DT35" s="81">
        <f t="shared" si="1"/>
        <v>1200257.0381773878</v>
      </c>
      <c r="DU35" s="81">
        <f t="shared" si="2"/>
        <v>4959.7398271792881</v>
      </c>
      <c r="DV35" s="81">
        <f>SUM(BL35:BO35,BZ35,DG35)</f>
        <v>345595.84</v>
      </c>
      <c r="DW35" s="81">
        <f t="shared" ref="DW35:DW66" si="29">SUM(DD35)</f>
        <v>15363.214285714286</v>
      </c>
      <c r="DX35" s="81">
        <f t="shared" ref="DX35:DX66" si="30">SUM(DC35)</f>
        <v>0</v>
      </c>
      <c r="DY35" s="81">
        <f t="shared" ref="DY35:DY66" si="31">SUM(DH35)</f>
        <v>0</v>
      </c>
      <c r="DZ35" s="81">
        <f t="shared" ref="DZ35:DZ66" si="32">SUM(CM35)</f>
        <v>108165.6</v>
      </c>
      <c r="EA35" s="74">
        <f t="shared" si="8"/>
        <v>734692.72600000002</v>
      </c>
      <c r="EB35" s="81">
        <f t="shared" ref="EB35:EC66" si="33">DO35</f>
        <v>0</v>
      </c>
      <c r="EC35" s="81">
        <f t="shared" si="33"/>
        <v>31882</v>
      </c>
      <c r="ED35" s="86">
        <f t="shared" si="20"/>
        <v>0.9584097950028162</v>
      </c>
      <c r="EE35" s="81">
        <f t="shared" si="21"/>
        <v>766574.72600000002</v>
      </c>
      <c r="EF35" s="81">
        <f t="shared" si="22"/>
        <v>6769309.471502332</v>
      </c>
      <c r="EG35" s="81">
        <f t="shared" si="10"/>
        <v>-35539.499999999069</v>
      </c>
      <c r="EH35" s="81">
        <v>0</v>
      </c>
      <c r="EI35" s="84">
        <v>0</v>
      </c>
      <c r="EJ35" s="74">
        <f t="shared" si="12"/>
        <v>6733769.9715023329</v>
      </c>
      <c r="EK35" s="74">
        <f t="shared" si="13"/>
        <v>0</v>
      </c>
      <c r="EM35" s="88">
        <f t="shared" si="14"/>
        <v>493</v>
      </c>
      <c r="EN35" s="74">
        <v>643</v>
      </c>
      <c r="EO35" s="74">
        <f t="shared" si="15"/>
        <v>-150</v>
      </c>
      <c r="EP35" s="90">
        <v>469</v>
      </c>
      <c r="EQ35" s="74">
        <f t="shared" si="23"/>
        <v>-174</v>
      </c>
      <c r="ER35" s="72" t="e">
        <v>#N/A</v>
      </c>
      <c r="ES35" s="74" t="e">
        <f t="shared" si="24"/>
        <v>#N/A</v>
      </c>
      <c r="ET35" s="74"/>
      <c r="EU35" s="74"/>
      <c r="EV35" s="74"/>
      <c r="EW35" s="89"/>
      <c r="EX35" s="81">
        <f t="shared" si="26"/>
        <v>5964064.514890518</v>
      </c>
      <c r="EY35" s="81">
        <f t="shared" si="27"/>
        <v>805244.95661181537</v>
      </c>
    </row>
    <row r="36" spans="1:155" x14ac:dyDescent="0.25">
      <c r="A36" s="76">
        <v>238</v>
      </c>
      <c r="B36" s="76" t="s">
        <v>174</v>
      </c>
      <c r="C36" s="77" t="s">
        <v>135</v>
      </c>
      <c r="D36" s="41">
        <v>8</v>
      </c>
      <c r="E36" s="78">
        <v>286</v>
      </c>
      <c r="F36" s="78">
        <v>247.48648648648648</v>
      </c>
      <c r="G36" s="79">
        <v>173177.12015668923</v>
      </c>
      <c r="H36" s="79">
        <v>109114.27619794433</v>
      </c>
      <c r="I36" s="79">
        <v>0</v>
      </c>
      <c r="J36" s="79">
        <v>0</v>
      </c>
      <c r="K36" s="79">
        <v>0</v>
      </c>
      <c r="L36" s="79">
        <v>40788.660078344612</v>
      </c>
      <c r="M36" s="79">
        <v>59319.676384927567</v>
      </c>
      <c r="N36" s="79">
        <v>0</v>
      </c>
      <c r="O36" s="79">
        <v>0</v>
      </c>
      <c r="P36" s="79">
        <v>0</v>
      </c>
      <c r="Q36" s="79"/>
      <c r="R36" s="79">
        <v>69375.836746740591</v>
      </c>
      <c r="S36" s="79">
        <v>54629.386746740587</v>
      </c>
      <c r="T36" s="79">
        <v>48958.736746740586</v>
      </c>
      <c r="U36" s="79">
        <v>54557.138098972166</v>
      </c>
      <c r="V36" s="79">
        <v>109114.27619794433</v>
      </c>
      <c r="W36" s="79">
        <v>109114.27619794433</v>
      </c>
      <c r="X36" s="79">
        <v>109114.27619794433</v>
      </c>
      <c r="Y36" s="79">
        <v>0</v>
      </c>
      <c r="Z36" s="79"/>
      <c r="AA36" s="79">
        <v>109114.27619794433</v>
      </c>
      <c r="AB36" s="79">
        <v>34402.626384927571</v>
      </c>
      <c r="AC36" s="79">
        <v>109114.27619794433</v>
      </c>
      <c r="AD36" s="79">
        <v>34402.626384927571</v>
      </c>
      <c r="AE36" s="79">
        <v>109114.27619794433</v>
      </c>
      <c r="AF36" s="79">
        <v>34402.626384927571</v>
      </c>
      <c r="AG36" s="79">
        <v>109114.27619794433</v>
      </c>
      <c r="AH36" s="79">
        <v>34402.626384927571</v>
      </c>
      <c r="AI36" s="79">
        <v>218228.55239588866</v>
      </c>
      <c r="AJ36" s="79">
        <v>218228.55239588866</v>
      </c>
      <c r="AK36" s="79">
        <v>218228.55239588866</v>
      </c>
      <c r="AL36" s="79">
        <v>327342.82859383302</v>
      </c>
      <c r="AM36" s="79">
        <v>218228.55239588866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v>0</v>
      </c>
      <c r="AU36" s="79">
        <v>0</v>
      </c>
      <c r="AV36" s="79"/>
      <c r="AW36" s="79">
        <v>0</v>
      </c>
      <c r="AX36" s="79">
        <v>109114.27619794433</v>
      </c>
      <c r="AY36" s="79">
        <v>109114.27619794433</v>
      </c>
      <c r="AZ36" s="79">
        <v>545571.38098972163</v>
      </c>
      <c r="BA36" s="79">
        <v>206415.75830956543</v>
      </c>
      <c r="BB36" s="79">
        <v>0</v>
      </c>
      <c r="BC36" s="79">
        <v>0</v>
      </c>
      <c r="BD36" s="79">
        <v>9919.4796543585762</v>
      </c>
      <c r="BE36" s="79">
        <v>0</v>
      </c>
      <c r="BF36" s="79">
        <v>0</v>
      </c>
      <c r="BG36" s="79">
        <f>29930-BL36</f>
        <v>12721.400000000001</v>
      </c>
      <c r="BH36" s="79">
        <v>28060</v>
      </c>
      <c r="BI36" s="79">
        <v>6734</v>
      </c>
      <c r="BJ36" s="79"/>
      <c r="BK36" s="79">
        <v>0</v>
      </c>
      <c r="BL36" s="79">
        <v>17208.599999999999</v>
      </c>
      <c r="BM36" s="79">
        <v>143092.13</v>
      </c>
      <c r="BN36" s="79">
        <v>2276.9699999999998</v>
      </c>
      <c r="BO36" s="79">
        <v>0</v>
      </c>
      <c r="BP36" s="79">
        <v>0</v>
      </c>
      <c r="BQ36" s="79">
        <v>0</v>
      </c>
      <c r="BR36" s="79">
        <v>0</v>
      </c>
      <c r="BS36" s="79">
        <v>0</v>
      </c>
      <c r="BT36" s="79">
        <v>0</v>
      </c>
      <c r="BU36" s="79">
        <v>0</v>
      </c>
      <c r="BV36" s="80">
        <v>0</v>
      </c>
      <c r="BW36" s="80">
        <v>0</v>
      </c>
      <c r="BX36" s="80">
        <v>0</v>
      </c>
      <c r="BY36" s="80">
        <v>0</v>
      </c>
      <c r="BZ36" s="80">
        <v>0</v>
      </c>
      <c r="CA36" s="80">
        <v>0</v>
      </c>
      <c r="CB36" s="80">
        <v>0</v>
      </c>
      <c r="CC36" s="80">
        <v>0</v>
      </c>
      <c r="CD36" s="79">
        <v>0</v>
      </c>
      <c r="CE36" s="79">
        <v>0</v>
      </c>
      <c r="CF36" s="79">
        <v>0</v>
      </c>
      <c r="CG36" s="79">
        <v>0</v>
      </c>
      <c r="CH36" s="79">
        <v>0</v>
      </c>
      <c r="CI36" s="79">
        <v>0</v>
      </c>
      <c r="CJ36" s="79">
        <v>0</v>
      </c>
      <c r="CK36" s="79">
        <v>0</v>
      </c>
      <c r="CL36" s="79">
        <v>0</v>
      </c>
      <c r="CM36" s="79">
        <v>57070.8</v>
      </c>
      <c r="CN36" s="79">
        <v>0</v>
      </c>
      <c r="CO36" s="79">
        <v>0</v>
      </c>
      <c r="CP36" s="79">
        <v>0</v>
      </c>
      <c r="CQ36" s="79">
        <v>9899.45945945946</v>
      </c>
      <c r="CR36" s="79">
        <v>0</v>
      </c>
      <c r="CS36" s="79">
        <v>16632.902465753425</v>
      </c>
      <c r="CT36" s="79"/>
      <c r="CU36" s="79">
        <v>0</v>
      </c>
      <c r="CV36" s="79"/>
      <c r="CW36" s="79">
        <v>0</v>
      </c>
      <c r="CX36" s="79">
        <v>0</v>
      </c>
      <c r="CY36" s="79">
        <v>0</v>
      </c>
      <c r="CZ36" s="79">
        <v>0</v>
      </c>
      <c r="DA36" s="79">
        <v>28600</v>
      </c>
      <c r="DB36" s="79">
        <v>59436.748021710409</v>
      </c>
      <c r="DC36" s="82">
        <v>0</v>
      </c>
      <c r="DD36" s="79">
        <v>15363.214285714286</v>
      </c>
      <c r="DE36" s="79"/>
      <c r="DF36" s="79">
        <v>21300</v>
      </c>
      <c r="DG36" s="79">
        <v>0</v>
      </c>
      <c r="DH36" s="83"/>
      <c r="DI36" s="79">
        <v>14371.047915531397</v>
      </c>
      <c r="DJ36" s="79">
        <v>4110119.7038419791</v>
      </c>
      <c r="DK36" s="84">
        <v>54557.29615802085</v>
      </c>
      <c r="DL36" s="84">
        <v>217676.06</v>
      </c>
      <c r="DM36" s="84">
        <f t="shared" si="16"/>
        <v>4382353.0599999996</v>
      </c>
      <c r="DN36" s="84">
        <f>'[7]FY20 Initial Budget Alloca FTE'!F36*DN$1</f>
        <v>543445.67621621629</v>
      </c>
      <c r="DO36" s="81">
        <f t="shared" si="0"/>
        <v>47515.4</v>
      </c>
      <c r="DP36" s="81">
        <f t="shared" si="17"/>
        <v>31199.45945945946</v>
      </c>
      <c r="DQ36" s="74">
        <f t="shared" si="18"/>
        <v>464730.8167567568</v>
      </c>
      <c r="DR36" s="85">
        <f t="shared" si="25"/>
        <v>0.85515597436064272</v>
      </c>
      <c r="DS36" s="81">
        <f t="shared" si="19"/>
        <v>2351527.1419905145</v>
      </c>
      <c r="DT36" s="81">
        <f t="shared" si="1"/>
        <v>970215.69169517583</v>
      </c>
      <c r="DU36" s="81">
        <f t="shared" si="2"/>
        <v>9919.4796543585762</v>
      </c>
      <c r="DV36" s="81">
        <f t="shared" ref="DV36:DV99" si="34">SUM(BL36:BO36,BZ36,DG36)</f>
        <v>162577.70000000001</v>
      </c>
      <c r="DW36" s="81">
        <f t="shared" si="29"/>
        <v>15363.214285714286</v>
      </c>
      <c r="DX36" s="81">
        <f t="shared" si="30"/>
        <v>0</v>
      </c>
      <c r="DY36" s="81">
        <f t="shared" si="31"/>
        <v>0</v>
      </c>
      <c r="DZ36" s="81">
        <f t="shared" si="32"/>
        <v>57070.8</v>
      </c>
      <c r="EA36" s="74">
        <f t="shared" si="8"/>
        <v>464730.8167567568</v>
      </c>
      <c r="EB36" s="81">
        <f t="shared" si="33"/>
        <v>47515.4</v>
      </c>
      <c r="EC36" s="81">
        <f t="shared" si="33"/>
        <v>31199.45945945946</v>
      </c>
      <c r="ED36" s="86">
        <f t="shared" si="20"/>
        <v>0.85515597436064272</v>
      </c>
      <c r="EE36" s="81">
        <f t="shared" si="21"/>
        <v>543445.67621621629</v>
      </c>
      <c r="EF36" s="81">
        <f t="shared" si="22"/>
        <v>4110119.7038419796</v>
      </c>
      <c r="EG36" s="81">
        <f t="shared" si="10"/>
        <v>0</v>
      </c>
      <c r="EH36" s="81">
        <v>4613121.6259279251</v>
      </c>
      <c r="EI36" s="84">
        <f t="shared" ref="EI36:EI73" si="35">DJ36-CM36</f>
        <v>4053048.9038419793</v>
      </c>
      <c r="EJ36" s="74">
        <f t="shared" si="12"/>
        <v>-503001.92208594596</v>
      </c>
      <c r="EK36" s="74">
        <f t="shared" si="13"/>
        <v>-560072.72208594577</v>
      </c>
      <c r="EM36" s="88">
        <f t="shared" si="14"/>
        <v>286</v>
      </c>
      <c r="EN36" s="74">
        <v>293</v>
      </c>
      <c r="EO36" s="74">
        <f t="shared" si="15"/>
        <v>-7</v>
      </c>
      <c r="EP36" s="72">
        <v>291</v>
      </c>
      <c r="EQ36" s="74">
        <f t="shared" si="23"/>
        <v>-2</v>
      </c>
      <c r="ER36" s="72">
        <v>291</v>
      </c>
      <c r="ES36" s="74">
        <f t="shared" si="24"/>
        <v>-5</v>
      </c>
      <c r="ET36" s="74"/>
      <c r="EU36" s="74"/>
      <c r="EV36" s="74"/>
      <c r="EW36" s="89"/>
      <c r="EX36" s="81">
        <f t="shared" si="26"/>
        <v>3739238.8796093422</v>
      </c>
      <c r="EY36" s="81">
        <f t="shared" si="27"/>
        <v>370880.82423263759</v>
      </c>
    </row>
    <row r="37" spans="1:155" x14ac:dyDescent="0.25">
      <c r="A37" s="76">
        <v>239</v>
      </c>
      <c r="B37" s="76" t="s">
        <v>175</v>
      </c>
      <c r="C37" s="77" t="s">
        <v>135</v>
      </c>
      <c r="D37" s="41">
        <v>2</v>
      </c>
      <c r="E37" s="78">
        <v>284</v>
      </c>
      <c r="F37" s="78">
        <v>140.36507936507937</v>
      </c>
      <c r="G37" s="79">
        <v>173177.12015668923</v>
      </c>
      <c r="H37" s="79">
        <v>109114.27619794433</v>
      </c>
      <c r="I37" s="79">
        <v>0</v>
      </c>
      <c r="J37" s="79">
        <v>0</v>
      </c>
      <c r="K37" s="79">
        <v>0</v>
      </c>
      <c r="L37" s="79">
        <v>40788.660078344612</v>
      </c>
      <c r="M37" s="79">
        <v>59319.676384927567</v>
      </c>
      <c r="N37" s="79">
        <v>0</v>
      </c>
      <c r="O37" s="79">
        <v>0</v>
      </c>
      <c r="P37" s="79">
        <v>0</v>
      </c>
      <c r="Q37" s="79"/>
      <c r="R37" s="79">
        <v>69375.836746740591</v>
      </c>
      <c r="S37" s="79">
        <v>54629.386746740587</v>
      </c>
      <c r="T37" s="79">
        <v>48958.736746740586</v>
      </c>
      <c r="U37" s="79">
        <v>54557.138098972166</v>
      </c>
      <c r="V37" s="79">
        <v>109114.27619794433</v>
      </c>
      <c r="W37" s="79">
        <v>109114.27619794433</v>
      </c>
      <c r="X37" s="79">
        <v>109114.27619794433</v>
      </c>
      <c r="Y37" s="79">
        <v>0</v>
      </c>
      <c r="Z37" s="79"/>
      <c r="AA37" s="79">
        <v>0</v>
      </c>
      <c r="AB37" s="79">
        <v>0</v>
      </c>
      <c r="AC37" s="79">
        <v>545571.38098972163</v>
      </c>
      <c r="AD37" s="79">
        <v>206415.75830956543</v>
      </c>
      <c r="AE37" s="79">
        <v>0</v>
      </c>
      <c r="AF37" s="79">
        <v>0</v>
      </c>
      <c r="AG37" s="79">
        <v>218228.55239588866</v>
      </c>
      <c r="AH37" s="79">
        <v>68805.252769855142</v>
      </c>
      <c r="AI37" s="79">
        <v>218228.55239588866</v>
      </c>
      <c r="AJ37" s="79">
        <v>218228.55239588866</v>
      </c>
      <c r="AK37" s="79">
        <v>218228.55239588866</v>
      </c>
      <c r="AL37" s="79">
        <v>109114.27619794433</v>
      </c>
      <c r="AM37" s="79">
        <v>218228.55239588866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v>0</v>
      </c>
      <c r="AU37" s="79">
        <v>0</v>
      </c>
      <c r="AV37" s="79"/>
      <c r="AW37" s="79">
        <v>0</v>
      </c>
      <c r="AX37" s="79">
        <v>54557.138098972166</v>
      </c>
      <c r="AY37" s="79">
        <v>109114.27619794433</v>
      </c>
      <c r="AZ37" s="79">
        <v>654685.65718766605</v>
      </c>
      <c r="BA37" s="79">
        <v>206415.75830956543</v>
      </c>
      <c r="BB37" s="79">
        <v>0</v>
      </c>
      <c r="BC37" s="79">
        <v>0</v>
      </c>
      <c r="BD37" s="79">
        <v>436457.10479177732</v>
      </c>
      <c r="BE37" s="79">
        <v>0</v>
      </c>
      <c r="BF37" s="79">
        <v>0</v>
      </c>
      <c r="BG37" s="79">
        <f>29930-BL37</f>
        <v>12721.400000000001</v>
      </c>
      <c r="BH37" s="79">
        <v>28060</v>
      </c>
      <c r="BI37" s="79">
        <v>6734</v>
      </c>
      <c r="BJ37" s="79"/>
      <c r="BK37" s="79">
        <v>0</v>
      </c>
      <c r="BL37" s="79">
        <v>17208.599999999999</v>
      </c>
      <c r="BM37" s="79">
        <v>118847.28</v>
      </c>
      <c r="BN37" s="79">
        <v>1891.17</v>
      </c>
      <c r="BO37" s="79">
        <v>0</v>
      </c>
      <c r="BP37" s="79">
        <v>0</v>
      </c>
      <c r="BQ37" s="79">
        <v>0</v>
      </c>
      <c r="BR37" s="79">
        <v>0</v>
      </c>
      <c r="BS37" s="79">
        <v>0</v>
      </c>
      <c r="BT37" s="79">
        <v>0</v>
      </c>
      <c r="BU37" s="79">
        <v>0</v>
      </c>
      <c r="BV37" s="80">
        <v>0</v>
      </c>
      <c r="BW37" s="80">
        <v>0</v>
      </c>
      <c r="BX37" s="80">
        <v>0</v>
      </c>
      <c r="BY37" s="80">
        <v>0</v>
      </c>
      <c r="BZ37" s="80">
        <v>0</v>
      </c>
      <c r="CA37" s="80">
        <v>0</v>
      </c>
      <c r="CB37" s="80">
        <v>0</v>
      </c>
      <c r="CC37" s="80">
        <v>0</v>
      </c>
      <c r="CD37" s="79">
        <v>0</v>
      </c>
      <c r="CE37" s="79">
        <v>0</v>
      </c>
      <c r="CF37" s="79">
        <v>0</v>
      </c>
      <c r="CG37" s="79">
        <v>0</v>
      </c>
      <c r="CH37" s="79">
        <v>0</v>
      </c>
      <c r="CI37" s="79">
        <v>0</v>
      </c>
      <c r="CJ37" s="79">
        <v>0</v>
      </c>
      <c r="CK37" s="79">
        <v>0</v>
      </c>
      <c r="CL37" s="79">
        <v>0</v>
      </c>
      <c r="CM37" s="79">
        <v>54082.8</v>
      </c>
      <c r="CN37" s="79">
        <v>0</v>
      </c>
      <c r="CO37" s="79">
        <v>0</v>
      </c>
      <c r="CP37" s="79">
        <v>0</v>
      </c>
      <c r="CQ37" s="79">
        <v>2807.3015873015875</v>
      </c>
      <c r="CR37" s="79">
        <v>0</v>
      </c>
      <c r="CS37" s="79">
        <v>16643.235955056181</v>
      </c>
      <c r="CT37" s="79"/>
      <c r="CU37" s="79">
        <v>0</v>
      </c>
      <c r="CV37" s="79"/>
      <c r="CW37" s="79">
        <v>0</v>
      </c>
      <c r="CX37" s="79">
        <v>0</v>
      </c>
      <c r="CY37" s="79">
        <v>0</v>
      </c>
      <c r="CZ37" s="79">
        <v>0</v>
      </c>
      <c r="DA37" s="79">
        <v>28400</v>
      </c>
      <c r="DB37" s="79">
        <v>71154.642695792529</v>
      </c>
      <c r="DC37" s="82">
        <v>0</v>
      </c>
      <c r="DD37" s="79">
        <v>0</v>
      </c>
      <c r="DE37" s="79"/>
      <c r="DF37" s="79">
        <v>7600</v>
      </c>
      <c r="DG37" s="79">
        <v>0</v>
      </c>
      <c r="DH37" s="83">
        <v>0</v>
      </c>
      <c r="DI37" s="79">
        <v>16851.033291625135</v>
      </c>
      <c r="DJ37" s="79">
        <v>4785693.4548215382</v>
      </c>
      <c r="DK37" s="84">
        <v>34402.54517846182</v>
      </c>
      <c r="DL37" s="84">
        <v>0</v>
      </c>
      <c r="DM37" s="84">
        <f t="shared" si="16"/>
        <v>4820096</v>
      </c>
      <c r="DN37" s="84">
        <f>'[7]FY20 Initial Budget Alloca FTE'!F37*DN$1</f>
        <v>308222.06317460322</v>
      </c>
      <c r="DO37" s="81">
        <f t="shared" si="0"/>
        <v>47515.4</v>
      </c>
      <c r="DP37" s="81">
        <f t="shared" si="17"/>
        <v>10407.301587301587</v>
      </c>
      <c r="DQ37" s="74">
        <f t="shared" si="18"/>
        <v>250299.36158730162</v>
      </c>
      <c r="DR37" s="85">
        <f t="shared" si="25"/>
        <v>0.81207477170610842</v>
      </c>
      <c r="DS37" s="81">
        <f t="shared" si="19"/>
        <v>2824211.6070610094</v>
      </c>
      <c r="DT37" s="81">
        <f t="shared" si="1"/>
        <v>1024772.829794148</v>
      </c>
      <c r="DU37" s="81">
        <f t="shared" si="2"/>
        <v>436457.10479177732</v>
      </c>
      <c r="DV37" s="81">
        <f t="shared" si="34"/>
        <v>137947.05000000002</v>
      </c>
      <c r="DW37" s="81">
        <f t="shared" si="29"/>
        <v>0</v>
      </c>
      <c r="DX37" s="81">
        <f t="shared" si="30"/>
        <v>0</v>
      </c>
      <c r="DY37" s="81">
        <f t="shared" si="31"/>
        <v>0</v>
      </c>
      <c r="DZ37" s="81">
        <f t="shared" si="32"/>
        <v>54082.8</v>
      </c>
      <c r="EA37" s="74">
        <f t="shared" si="8"/>
        <v>250299.36158730162</v>
      </c>
      <c r="EB37" s="81">
        <f t="shared" si="33"/>
        <v>47515.4</v>
      </c>
      <c r="EC37" s="81">
        <f t="shared" si="33"/>
        <v>10407.301587301587</v>
      </c>
      <c r="ED37" s="86">
        <f t="shared" si="20"/>
        <v>0.81207477170610842</v>
      </c>
      <c r="EE37" s="81">
        <f t="shared" si="21"/>
        <v>308222.06317460322</v>
      </c>
      <c r="EF37" s="81">
        <f t="shared" si="22"/>
        <v>4785693.4548215382</v>
      </c>
      <c r="EG37" s="81">
        <f t="shared" si="10"/>
        <v>0</v>
      </c>
      <c r="EH37" s="81">
        <v>4476542.0952645456</v>
      </c>
      <c r="EI37" s="84">
        <f t="shared" si="35"/>
        <v>4731610.6548215384</v>
      </c>
      <c r="EJ37" s="74">
        <f t="shared" si="12"/>
        <v>309151.35955699254</v>
      </c>
      <c r="EK37" s="74">
        <f t="shared" si="13"/>
        <v>255068.55955699272</v>
      </c>
      <c r="EM37" s="88">
        <f t="shared" si="14"/>
        <v>284</v>
      </c>
      <c r="EN37" s="74">
        <v>259</v>
      </c>
      <c r="EO37" s="74">
        <f t="shared" si="15"/>
        <v>25</v>
      </c>
      <c r="EP37" s="72">
        <v>277</v>
      </c>
      <c r="EQ37" s="74">
        <f t="shared" si="23"/>
        <v>18</v>
      </c>
      <c r="ER37" s="72">
        <v>241</v>
      </c>
      <c r="ES37" s="74">
        <f t="shared" si="24"/>
        <v>43</v>
      </c>
      <c r="ET37" s="74"/>
      <c r="EU37" s="74"/>
      <c r="EV37" s="74"/>
      <c r="EW37" s="89"/>
      <c r="EX37" s="81">
        <f t="shared" si="26"/>
        <v>4467058.4245833885</v>
      </c>
      <c r="EY37" s="81">
        <f t="shared" si="27"/>
        <v>318635.03023815033</v>
      </c>
    </row>
    <row r="38" spans="1:155" x14ac:dyDescent="0.25">
      <c r="A38" s="76">
        <v>227</v>
      </c>
      <c r="B38" s="76" t="s">
        <v>176</v>
      </c>
      <c r="C38" s="77" t="s">
        <v>135</v>
      </c>
      <c r="D38" s="41">
        <v>1</v>
      </c>
      <c r="E38" s="78">
        <v>395</v>
      </c>
      <c r="F38" s="78">
        <v>227.65296803652967</v>
      </c>
      <c r="G38" s="79">
        <v>173177.12015668923</v>
      </c>
      <c r="H38" s="79">
        <v>109114.27619794433</v>
      </c>
      <c r="I38" s="79">
        <v>140395.22015668923</v>
      </c>
      <c r="J38" s="79">
        <v>0</v>
      </c>
      <c r="K38" s="79">
        <v>0</v>
      </c>
      <c r="L38" s="79">
        <v>81577.320156689224</v>
      </c>
      <c r="M38" s="79">
        <v>59319.676384927567</v>
      </c>
      <c r="N38" s="79">
        <v>0</v>
      </c>
      <c r="O38" s="79">
        <v>0</v>
      </c>
      <c r="P38" s="79">
        <v>0</v>
      </c>
      <c r="Q38" s="79"/>
      <c r="R38" s="79">
        <v>69375.836746740591</v>
      </c>
      <c r="S38" s="79">
        <v>54629.386746740587</v>
      </c>
      <c r="T38" s="79">
        <v>97917.473493481171</v>
      </c>
      <c r="U38" s="79">
        <v>109114.27619794433</v>
      </c>
      <c r="V38" s="79">
        <v>109114.27619794433</v>
      </c>
      <c r="W38" s="79">
        <v>109114.27619794433</v>
      </c>
      <c r="X38" s="79">
        <v>109114.27619794433</v>
      </c>
      <c r="Y38" s="79">
        <f>54557.1380989722-Z38</f>
        <v>0</v>
      </c>
      <c r="Z38" s="79">
        <v>54557.138098972166</v>
      </c>
      <c r="AA38" s="79">
        <v>218228.55239588866</v>
      </c>
      <c r="AB38" s="79">
        <v>68805.252769855142</v>
      </c>
      <c r="AC38" s="79">
        <v>0</v>
      </c>
      <c r="AD38" s="79">
        <v>0</v>
      </c>
      <c r="AE38" s="79">
        <v>327342.82859383302</v>
      </c>
      <c r="AF38" s="79">
        <v>103207.87915478271</v>
      </c>
      <c r="AG38" s="79">
        <v>327342.82859383302</v>
      </c>
      <c r="AH38" s="79">
        <v>103207.87915478271</v>
      </c>
      <c r="AI38" s="79">
        <v>327342.82859383302</v>
      </c>
      <c r="AJ38" s="79">
        <v>327342.82859383302</v>
      </c>
      <c r="AK38" s="79">
        <v>218228.55239588866</v>
      </c>
      <c r="AL38" s="79">
        <v>218228.55239588866</v>
      </c>
      <c r="AM38" s="79">
        <v>218228.55239588866</v>
      </c>
      <c r="AN38" s="79">
        <v>0</v>
      </c>
      <c r="AO38" s="79">
        <v>0</v>
      </c>
      <c r="AP38" s="79">
        <v>0</v>
      </c>
      <c r="AQ38" s="79">
        <v>0</v>
      </c>
      <c r="AR38" s="79">
        <v>0</v>
      </c>
      <c r="AS38" s="79">
        <v>0</v>
      </c>
      <c r="AT38" s="79">
        <v>0</v>
      </c>
      <c r="AU38" s="79">
        <v>0</v>
      </c>
      <c r="AV38" s="79"/>
      <c r="AW38" s="79">
        <v>0</v>
      </c>
      <c r="AX38" s="79">
        <v>109114.27619794433</v>
      </c>
      <c r="AY38" s="79">
        <v>109114.27619794433</v>
      </c>
      <c r="AZ38" s="79">
        <v>545571.38098972163</v>
      </c>
      <c r="BA38" s="79">
        <v>68805.252769855142</v>
      </c>
      <c r="BB38" s="79">
        <v>0</v>
      </c>
      <c r="BC38" s="79">
        <v>0</v>
      </c>
      <c r="BD38" s="79">
        <v>872914.20958355465</v>
      </c>
      <c r="BE38" s="79">
        <v>0</v>
      </c>
      <c r="BF38" s="79">
        <v>109114.27619794433</v>
      </c>
      <c r="BG38" s="79">
        <v>0</v>
      </c>
      <c r="BH38" s="79">
        <v>0</v>
      </c>
      <c r="BI38" s="79">
        <v>0</v>
      </c>
      <c r="BJ38" s="79"/>
      <c r="BK38" s="79">
        <v>0</v>
      </c>
      <c r="BL38" s="79"/>
      <c r="BM38" s="79">
        <v>191581.82</v>
      </c>
      <c r="BN38" s="79">
        <v>3048.56</v>
      </c>
      <c r="BO38" s="79">
        <v>0</v>
      </c>
      <c r="BP38" s="79">
        <v>0</v>
      </c>
      <c r="BQ38" s="79">
        <v>0</v>
      </c>
      <c r="BR38" s="79">
        <v>0</v>
      </c>
      <c r="BS38" s="79">
        <v>0</v>
      </c>
      <c r="BT38" s="79">
        <v>0</v>
      </c>
      <c r="BU38" s="79">
        <v>0</v>
      </c>
      <c r="BV38" s="80">
        <v>0</v>
      </c>
      <c r="BW38" s="80">
        <v>0</v>
      </c>
      <c r="BX38" s="80">
        <v>0</v>
      </c>
      <c r="BY38" s="80">
        <v>0</v>
      </c>
      <c r="BZ38" s="80">
        <v>0</v>
      </c>
      <c r="CA38" s="80">
        <v>0</v>
      </c>
      <c r="CB38" s="80">
        <v>0</v>
      </c>
      <c r="CC38" s="80">
        <v>0</v>
      </c>
      <c r="CD38" s="79">
        <v>0</v>
      </c>
      <c r="CE38" s="79">
        <v>0</v>
      </c>
      <c r="CF38" s="79">
        <v>0</v>
      </c>
      <c r="CG38" s="79">
        <v>0</v>
      </c>
      <c r="CH38" s="79">
        <v>0</v>
      </c>
      <c r="CI38" s="79">
        <v>0</v>
      </c>
      <c r="CJ38" s="79">
        <v>0</v>
      </c>
      <c r="CK38" s="79">
        <v>0</v>
      </c>
      <c r="CL38" s="79">
        <v>0</v>
      </c>
      <c r="CM38" s="79">
        <v>57070.8</v>
      </c>
      <c r="CN38" s="79">
        <v>0</v>
      </c>
      <c r="CO38" s="79">
        <v>0</v>
      </c>
      <c r="CP38" s="79">
        <v>0</v>
      </c>
      <c r="CQ38" s="79">
        <v>4553.0593607305937</v>
      </c>
      <c r="CR38" s="79">
        <v>0</v>
      </c>
      <c r="CS38" s="79">
        <v>22695.620454545453</v>
      </c>
      <c r="CT38" s="79"/>
      <c r="CU38" s="79">
        <v>0</v>
      </c>
      <c r="CV38" s="79"/>
      <c r="CW38" s="79">
        <v>0</v>
      </c>
      <c r="CX38" s="79">
        <v>105202</v>
      </c>
      <c r="CY38" s="79">
        <v>0</v>
      </c>
      <c r="CZ38" s="79">
        <v>0</v>
      </c>
      <c r="DA38" s="79">
        <v>39500</v>
      </c>
      <c r="DB38" s="79">
        <v>89333.438234485351</v>
      </c>
      <c r="DC38" s="82">
        <v>0</v>
      </c>
      <c r="DD38" s="79">
        <v>0</v>
      </c>
      <c r="DE38" s="79"/>
      <c r="DF38" s="79">
        <v>13250</v>
      </c>
      <c r="DG38" s="79">
        <v>0</v>
      </c>
      <c r="DH38" s="83"/>
      <c r="DI38" s="79">
        <v>15379.483691027048</v>
      </c>
      <c r="DJ38" s="79">
        <v>6074896.0579556832</v>
      </c>
      <c r="DK38" s="84">
        <v>2.0443163812160492E-3</v>
      </c>
      <c r="DL38" s="84">
        <v>217358.75</v>
      </c>
      <c r="DM38" s="84">
        <f t="shared" si="16"/>
        <v>6292254.8099999996</v>
      </c>
      <c r="DN38" s="84">
        <f>'[7]FY20 Initial Budget Alloca FTE'!F38*DN$1</f>
        <v>499894.04639269406</v>
      </c>
      <c r="DO38" s="81">
        <f t="shared" si="0"/>
        <v>0</v>
      </c>
      <c r="DP38" s="81">
        <f t="shared" si="17"/>
        <v>72360.197459702758</v>
      </c>
      <c r="DQ38" s="74">
        <f t="shared" si="18"/>
        <v>427533.84893299127</v>
      </c>
      <c r="DR38" s="85">
        <f t="shared" si="25"/>
        <v>0.85524893128481094</v>
      </c>
      <c r="DS38" s="81">
        <f t="shared" si="19"/>
        <v>3508667.1596260252</v>
      </c>
      <c r="DT38" s="81">
        <f t="shared" si="1"/>
        <v>832605.18615546543</v>
      </c>
      <c r="DU38" s="81">
        <f t="shared" si="2"/>
        <v>982028.48578149895</v>
      </c>
      <c r="DV38" s="81">
        <f t="shared" si="34"/>
        <v>194630.38</v>
      </c>
      <c r="DW38" s="81">
        <f t="shared" si="29"/>
        <v>0</v>
      </c>
      <c r="DX38" s="81">
        <f t="shared" si="30"/>
        <v>0</v>
      </c>
      <c r="DY38" s="81">
        <f t="shared" si="31"/>
        <v>0</v>
      </c>
      <c r="DZ38" s="81">
        <f t="shared" si="32"/>
        <v>57070.8</v>
      </c>
      <c r="EA38" s="74">
        <f t="shared" si="8"/>
        <v>427533.84893299127</v>
      </c>
      <c r="EB38" s="81">
        <f t="shared" si="33"/>
        <v>0</v>
      </c>
      <c r="EC38" s="81">
        <f t="shared" si="33"/>
        <v>72360.197459702758</v>
      </c>
      <c r="ED38" s="86">
        <f t="shared" si="20"/>
        <v>0.85524893128481094</v>
      </c>
      <c r="EE38" s="81">
        <f t="shared" si="21"/>
        <v>499894.046392694</v>
      </c>
      <c r="EF38" s="81">
        <f t="shared" si="22"/>
        <v>6074896.0579556832</v>
      </c>
      <c r="EG38" s="81">
        <f t="shared" si="10"/>
        <v>0</v>
      </c>
      <c r="EH38" s="81">
        <v>6537258.2483359324</v>
      </c>
      <c r="EI38" s="84">
        <f t="shared" si="35"/>
        <v>6017825.2579556834</v>
      </c>
      <c r="EJ38" s="74">
        <f t="shared" si="12"/>
        <v>-462362.19038024917</v>
      </c>
      <c r="EK38" s="74">
        <f t="shared" si="13"/>
        <v>-519432.99038024899</v>
      </c>
      <c r="EM38" s="88">
        <f t="shared" si="14"/>
        <v>395</v>
      </c>
      <c r="EN38" s="74">
        <v>407</v>
      </c>
      <c r="EO38" s="74">
        <f t="shared" si="15"/>
        <v>-12</v>
      </c>
      <c r="EP38" s="72">
        <v>387</v>
      </c>
      <c r="EQ38" s="74">
        <f t="shared" si="23"/>
        <v>-20</v>
      </c>
      <c r="ER38" s="72">
        <v>394</v>
      </c>
      <c r="ES38" s="74">
        <f t="shared" si="24"/>
        <v>1</v>
      </c>
      <c r="ET38" s="74"/>
      <c r="EU38" s="74"/>
      <c r="EV38" s="74"/>
      <c r="EW38" s="89"/>
      <c r="EX38" s="81">
        <f t="shared" si="26"/>
        <v>5653862.7599059222</v>
      </c>
      <c r="EY38" s="81">
        <f t="shared" si="27"/>
        <v>421033.29804976139</v>
      </c>
    </row>
    <row r="39" spans="1:155" x14ac:dyDescent="0.25">
      <c r="A39" s="76">
        <v>246</v>
      </c>
      <c r="B39" s="76" t="s">
        <v>177</v>
      </c>
      <c r="C39" s="77" t="s">
        <v>152</v>
      </c>
      <c r="D39" s="41">
        <v>2</v>
      </c>
      <c r="E39" s="78">
        <v>482</v>
      </c>
      <c r="F39" s="78">
        <v>114.7047867711053</v>
      </c>
      <c r="G39" s="79">
        <v>173177.12015668923</v>
      </c>
      <c r="H39" s="79">
        <v>109114.27619794433</v>
      </c>
      <c r="I39" s="79">
        <v>224632.3522507028</v>
      </c>
      <c r="J39" s="79">
        <v>130937.13143753319</v>
      </c>
      <c r="K39" s="79">
        <v>0</v>
      </c>
      <c r="L39" s="79">
        <v>81577.320156689224</v>
      </c>
      <c r="M39" s="79">
        <v>59319.676384927567</v>
      </c>
      <c r="N39" s="79">
        <v>53562.391661913083</v>
      </c>
      <c r="O39" s="79">
        <v>0</v>
      </c>
      <c r="P39" s="79">
        <v>0</v>
      </c>
      <c r="Q39" s="79"/>
      <c r="R39" s="79">
        <v>69375.836746740591</v>
      </c>
      <c r="S39" s="79">
        <v>54629.386746740587</v>
      </c>
      <c r="T39" s="79">
        <v>97917.473493481171</v>
      </c>
      <c r="U39" s="79">
        <v>109114.27619794433</v>
      </c>
      <c r="V39" s="79">
        <v>0</v>
      </c>
      <c r="W39" s="79">
        <v>0</v>
      </c>
      <c r="X39" s="79">
        <v>0</v>
      </c>
      <c r="Y39" s="79">
        <v>0</v>
      </c>
      <c r="Z39" s="79"/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79">
        <v>0</v>
      </c>
      <c r="AM39" s="79">
        <v>0</v>
      </c>
      <c r="AN39" s="79">
        <v>872914.20958355465</v>
      </c>
      <c r="AO39" s="79">
        <v>807445.64386478812</v>
      </c>
      <c r="AP39" s="79">
        <v>709242.7952866382</v>
      </c>
      <c r="AQ39" s="79">
        <v>0</v>
      </c>
      <c r="AR39" s="79">
        <v>0</v>
      </c>
      <c r="AS39" s="79">
        <v>0</v>
      </c>
      <c r="AT39" s="79">
        <v>0</v>
      </c>
      <c r="AU39" s="79">
        <v>0</v>
      </c>
      <c r="AV39" s="79"/>
      <c r="AW39" s="79">
        <v>0</v>
      </c>
      <c r="AX39" s="79">
        <v>109114.27619794433</v>
      </c>
      <c r="AY39" s="79">
        <v>218228.55239588866</v>
      </c>
      <c r="AZ39" s="79">
        <v>872914.20958355465</v>
      </c>
      <c r="BA39" s="79">
        <v>137610.50553971028</v>
      </c>
      <c r="BB39" s="79">
        <v>0</v>
      </c>
      <c r="BC39" s="79">
        <v>0</v>
      </c>
      <c r="BD39" s="79">
        <v>109114.27619794433</v>
      </c>
      <c r="BE39" s="79">
        <v>0</v>
      </c>
      <c r="BF39" s="79">
        <v>0</v>
      </c>
      <c r="BG39" s="79">
        <v>0</v>
      </c>
      <c r="BH39" s="79">
        <v>0</v>
      </c>
      <c r="BI39" s="79">
        <v>0</v>
      </c>
      <c r="BJ39" s="79"/>
      <c r="BK39" s="79">
        <v>0</v>
      </c>
      <c r="BL39" s="79"/>
      <c r="BM39" s="79">
        <v>75928.03</v>
      </c>
      <c r="BN39" s="79">
        <v>1208.21</v>
      </c>
      <c r="BO39" s="79">
        <v>9800</v>
      </c>
      <c r="BP39" s="79">
        <v>0</v>
      </c>
      <c r="BQ39" s="79">
        <v>218228.55239588866</v>
      </c>
      <c r="BR39" s="79">
        <v>0</v>
      </c>
      <c r="BS39" s="79">
        <v>0</v>
      </c>
      <c r="BT39" s="79">
        <v>0</v>
      </c>
      <c r="BU39" s="79">
        <v>0</v>
      </c>
      <c r="BV39" s="80">
        <v>0</v>
      </c>
      <c r="BW39" s="80">
        <v>0</v>
      </c>
      <c r="BX39" s="80">
        <v>0</v>
      </c>
      <c r="BY39" s="80">
        <v>0</v>
      </c>
      <c r="BZ39" s="80">
        <v>0</v>
      </c>
      <c r="CA39" s="80">
        <v>0</v>
      </c>
      <c r="CB39" s="80">
        <v>0</v>
      </c>
      <c r="CC39" s="80">
        <v>0</v>
      </c>
      <c r="CD39" s="79">
        <v>0</v>
      </c>
      <c r="CE39" s="79">
        <v>0</v>
      </c>
      <c r="CF39" s="79">
        <v>0</v>
      </c>
      <c r="CG39" s="79">
        <v>0</v>
      </c>
      <c r="CH39" s="79">
        <v>0</v>
      </c>
      <c r="CI39" s="79">
        <v>327342.82859383302</v>
      </c>
      <c r="CJ39" s="79">
        <v>0</v>
      </c>
      <c r="CK39" s="79">
        <v>23000</v>
      </c>
      <c r="CL39" s="79">
        <v>5000</v>
      </c>
      <c r="CM39" s="79">
        <v>227444.6</v>
      </c>
      <c r="CN39" s="79">
        <v>100000</v>
      </c>
      <c r="CO39" s="79">
        <v>0</v>
      </c>
      <c r="CP39" s="79">
        <v>0</v>
      </c>
      <c r="CQ39" s="79">
        <v>0</v>
      </c>
      <c r="CR39" s="79">
        <v>77760</v>
      </c>
      <c r="CS39" s="79">
        <v>36235.255670103092</v>
      </c>
      <c r="CT39" s="79"/>
      <c r="CU39" s="79">
        <v>0</v>
      </c>
      <c r="CV39" s="79"/>
      <c r="CW39" s="79">
        <v>0</v>
      </c>
      <c r="CX39" s="79">
        <v>0</v>
      </c>
      <c r="CY39" s="79">
        <v>0</v>
      </c>
      <c r="CZ39" s="79">
        <v>0</v>
      </c>
      <c r="DA39" s="79">
        <v>48200</v>
      </c>
      <c r="DB39" s="79">
        <v>92144.696766243942</v>
      </c>
      <c r="DC39" s="82">
        <v>0</v>
      </c>
      <c r="DD39" s="79">
        <v>0</v>
      </c>
      <c r="DE39" s="79"/>
      <c r="DF39" s="79">
        <v>15600</v>
      </c>
      <c r="DG39" s="79">
        <v>0</v>
      </c>
      <c r="DH39" s="83">
        <v>0</v>
      </c>
      <c r="DI39" s="79">
        <v>12983.057849600415</v>
      </c>
      <c r="DJ39" s="79">
        <v>6257833.8835073989</v>
      </c>
      <c r="DK39" s="84">
        <v>54557.116492601112</v>
      </c>
      <c r="DL39" s="84">
        <v>0</v>
      </c>
      <c r="DM39" s="84">
        <f t="shared" si="16"/>
        <v>6312391</v>
      </c>
      <c r="DN39" s="84">
        <f>'[7]FY20 Initial Budget Alloca FTE'!F39*DN$1</f>
        <v>251875.65307919931</v>
      </c>
      <c r="DO39" s="81">
        <f t="shared" si="0"/>
        <v>0</v>
      </c>
      <c r="DP39" s="81">
        <f t="shared" si="17"/>
        <v>93360</v>
      </c>
      <c r="DQ39" s="74">
        <f t="shared" si="18"/>
        <v>158515.65307919931</v>
      </c>
      <c r="DR39" s="85">
        <f t="shared" si="25"/>
        <v>0.62934091144313953</v>
      </c>
      <c r="DS39" s="81">
        <f t="shared" si="19"/>
        <v>4244595.5705131562</v>
      </c>
      <c r="DT39" s="81">
        <f t="shared" si="1"/>
        <v>1337867.543717098</v>
      </c>
      <c r="DU39" s="81">
        <f t="shared" si="2"/>
        <v>109114.27619794433</v>
      </c>
      <c r="DV39" s="81">
        <f t="shared" si="34"/>
        <v>86936.24</v>
      </c>
      <c r="DW39" s="81">
        <f t="shared" si="29"/>
        <v>0</v>
      </c>
      <c r="DX39" s="81">
        <f t="shared" si="30"/>
        <v>0</v>
      </c>
      <c r="DY39" s="81">
        <f t="shared" si="31"/>
        <v>0</v>
      </c>
      <c r="DZ39" s="81">
        <f t="shared" si="32"/>
        <v>227444.6</v>
      </c>
      <c r="EA39" s="74">
        <f t="shared" si="8"/>
        <v>158515.65307919931</v>
      </c>
      <c r="EB39" s="81">
        <f t="shared" si="33"/>
        <v>0</v>
      </c>
      <c r="EC39" s="81">
        <f t="shared" si="33"/>
        <v>93360</v>
      </c>
      <c r="ED39" s="86">
        <f t="shared" si="20"/>
        <v>0.62934091144313953</v>
      </c>
      <c r="EE39" s="81">
        <f t="shared" si="21"/>
        <v>251875.65307919931</v>
      </c>
      <c r="EF39" s="81">
        <f t="shared" si="22"/>
        <v>6257833.8835073989</v>
      </c>
      <c r="EG39" s="81">
        <f t="shared" si="10"/>
        <v>0</v>
      </c>
      <c r="EH39" s="81">
        <v>5334525.2676178636</v>
      </c>
      <c r="EI39" s="84">
        <f t="shared" si="35"/>
        <v>6030389.2835073993</v>
      </c>
      <c r="EJ39" s="74">
        <f t="shared" si="12"/>
        <v>923308.61588953529</v>
      </c>
      <c r="EK39" s="74">
        <f t="shared" si="13"/>
        <v>695864.01588953566</v>
      </c>
      <c r="EM39" s="88">
        <f t="shared" si="14"/>
        <v>482</v>
      </c>
      <c r="EN39" s="74">
        <v>450</v>
      </c>
      <c r="EO39" s="74">
        <f t="shared" si="15"/>
        <v>32</v>
      </c>
      <c r="EP39" s="72">
        <v>451</v>
      </c>
      <c r="EQ39" s="74">
        <f t="shared" si="23"/>
        <v>1</v>
      </c>
      <c r="ER39" s="72">
        <v>413</v>
      </c>
      <c r="ES39" s="74">
        <f t="shared" si="24"/>
        <v>69</v>
      </c>
      <c r="ET39" s="74"/>
      <c r="EU39" s="74"/>
      <c r="EV39" s="74"/>
      <c r="EW39" s="89"/>
      <c r="EX39" s="81">
        <f t="shared" si="26"/>
        <v>5545513.0910710515</v>
      </c>
      <c r="EY39" s="81">
        <f t="shared" si="27"/>
        <v>712320.79243634699</v>
      </c>
    </row>
    <row r="40" spans="1:155" x14ac:dyDescent="0.25">
      <c r="A40" s="76">
        <v>413</v>
      </c>
      <c r="B40" s="76" t="s">
        <v>178</v>
      </c>
      <c r="C40" s="77" t="s">
        <v>152</v>
      </c>
      <c r="D40" s="41">
        <v>8</v>
      </c>
      <c r="E40" s="78">
        <v>353</v>
      </c>
      <c r="F40" s="78">
        <v>315.5331325301205</v>
      </c>
      <c r="G40" s="79">
        <v>173177.12015668923</v>
      </c>
      <c r="H40" s="79">
        <v>109114.27619794433</v>
      </c>
      <c r="I40" s="79">
        <v>168474.26418802707</v>
      </c>
      <c r="J40" s="79">
        <v>109114.27619794433</v>
      </c>
      <c r="K40" s="79">
        <v>0</v>
      </c>
      <c r="L40" s="79">
        <v>81577.320156689224</v>
      </c>
      <c r="M40" s="79">
        <v>59319.676384927567</v>
      </c>
      <c r="N40" s="79">
        <v>0</v>
      </c>
      <c r="O40" s="79">
        <v>0</v>
      </c>
      <c r="P40" s="79">
        <f>62573.5867467406-Q40</f>
        <v>0</v>
      </c>
      <c r="Q40" s="79">
        <v>62573.586746740584</v>
      </c>
      <c r="R40" s="79">
        <v>69375.836746740591</v>
      </c>
      <c r="S40" s="79">
        <v>54629.386746740587</v>
      </c>
      <c r="T40" s="79">
        <v>244793.68373370293</v>
      </c>
      <c r="U40" s="79">
        <v>109114.27619794433</v>
      </c>
      <c r="V40" s="79">
        <v>0</v>
      </c>
      <c r="W40" s="79">
        <v>0</v>
      </c>
      <c r="X40" s="79">
        <v>0</v>
      </c>
      <c r="Y40" s="79">
        <v>0</v>
      </c>
      <c r="Z40" s="79"/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79">
        <v>0</v>
      </c>
      <c r="AM40" s="79">
        <v>0</v>
      </c>
      <c r="AN40" s="79">
        <v>545571.38098972163</v>
      </c>
      <c r="AO40" s="79">
        <v>643774.22956787155</v>
      </c>
      <c r="AP40" s="79">
        <v>567394.23622931051</v>
      </c>
      <c r="AQ40" s="79">
        <v>0</v>
      </c>
      <c r="AR40" s="79">
        <v>0</v>
      </c>
      <c r="AS40" s="79">
        <v>0</v>
      </c>
      <c r="AT40" s="79">
        <v>0</v>
      </c>
      <c r="AU40" s="79">
        <v>0</v>
      </c>
      <c r="AV40" s="79"/>
      <c r="AW40" s="79">
        <v>0</v>
      </c>
      <c r="AX40" s="79">
        <v>109114.27619794433</v>
      </c>
      <c r="AY40" s="79">
        <v>436457.10479177732</v>
      </c>
      <c r="AZ40" s="79">
        <v>1091142.7619794433</v>
      </c>
      <c r="BA40" s="79">
        <v>206415.75830956543</v>
      </c>
      <c r="BB40" s="79">
        <v>96126.952769855139</v>
      </c>
      <c r="BC40" s="79">
        <v>0</v>
      </c>
      <c r="BD40" s="79">
        <v>19838.959308717152</v>
      </c>
      <c r="BE40" s="79">
        <v>0</v>
      </c>
      <c r="BF40" s="79">
        <v>0</v>
      </c>
      <c r="BG40" s="79">
        <f>23944-BL40</f>
        <v>5613.0999999999985</v>
      </c>
      <c r="BH40" s="79">
        <v>22448</v>
      </c>
      <c r="BI40" s="79">
        <v>6734</v>
      </c>
      <c r="BJ40" s="79"/>
      <c r="BK40" s="79">
        <v>0</v>
      </c>
      <c r="BL40" s="79">
        <v>18330.900000000001</v>
      </c>
      <c r="BM40" s="79">
        <v>160206.14000000001</v>
      </c>
      <c r="BN40" s="79">
        <v>2549.29</v>
      </c>
      <c r="BO40" s="79">
        <v>0</v>
      </c>
      <c r="BP40" s="79">
        <v>0</v>
      </c>
      <c r="BQ40" s="79">
        <v>0</v>
      </c>
      <c r="BR40" s="79">
        <v>140395.22015668923</v>
      </c>
      <c r="BS40" s="79">
        <v>0</v>
      </c>
      <c r="BT40" s="79">
        <v>0</v>
      </c>
      <c r="BU40" s="79">
        <v>0</v>
      </c>
      <c r="BV40" s="80">
        <v>0</v>
      </c>
      <c r="BW40" s="80">
        <v>0</v>
      </c>
      <c r="BX40" s="80">
        <v>0</v>
      </c>
      <c r="BY40" s="80">
        <v>0</v>
      </c>
      <c r="BZ40" s="80">
        <v>0</v>
      </c>
      <c r="CA40" s="80">
        <v>0</v>
      </c>
      <c r="CB40" s="80">
        <v>0</v>
      </c>
      <c r="CC40" s="80">
        <v>0</v>
      </c>
      <c r="CD40" s="79">
        <v>0</v>
      </c>
      <c r="CE40" s="79">
        <v>0</v>
      </c>
      <c r="CF40" s="79">
        <v>0</v>
      </c>
      <c r="CG40" s="79">
        <v>0</v>
      </c>
      <c r="CH40" s="79">
        <v>0</v>
      </c>
      <c r="CI40" s="79">
        <v>327342.82859383302</v>
      </c>
      <c r="CJ40" s="79">
        <v>0</v>
      </c>
      <c r="CK40" s="79">
        <v>23000</v>
      </c>
      <c r="CL40" s="79">
        <v>5000</v>
      </c>
      <c r="CM40" s="79">
        <v>388291.54000000004</v>
      </c>
      <c r="CN40" s="79">
        <v>100000</v>
      </c>
      <c r="CO40" s="79">
        <v>0</v>
      </c>
      <c r="CP40" s="79">
        <v>0</v>
      </c>
      <c r="CQ40" s="79">
        <v>12621.325301204819</v>
      </c>
      <c r="CR40" s="79">
        <v>0</v>
      </c>
      <c r="CS40" s="79">
        <v>27960.791885964914</v>
      </c>
      <c r="CT40" s="79"/>
      <c r="CU40" s="79">
        <v>0</v>
      </c>
      <c r="CV40" s="79"/>
      <c r="CW40" s="79">
        <v>0</v>
      </c>
      <c r="CX40" s="79">
        <v>0</v>
      </c>
      <c r="CY40" s="79">
        <v>0</v>
      </c>
      <c r="CZ40" s="79">
        <v>0</v>
      </c>
      <c r="DA40" s="79">
        <v>35300</v>
      </c>
      <c r="DB40" s="79">
        <v>88949.882338815994</v>
      </c>
      <c r="DC40" s="82">
        <v>0</v>
      </c>
      <c r="DD40" s="79">
        <v>0</v>
      </c>
      <c r="DE40" s="79"/>
      <c r="DF40" s="79">
        <v>84000</v>
      </c>
      <c r="DG40" s="79">
        <v>0</v>
      </c>
      <c r="DH40" s="83"/>
      <c r="DI40" s="79">
        <v>18146.862271600014</v>
      </c>
      <c r="DJ40" s="79">
        <v>6405842.3818748053</v>
      </c>
      <c r="DK40" s="84">
        <v>-0.52187480498105288</v>
      </c>
      <c r="DL40" s="84">
        <v>222504.86</v>
      </c>
      <c r="DM40" s="84">
        <f t="shared" si="16"/>
        <v>6628346.7200000007</v>
      </c>
      <c r="DN40" s="84">
        <f>'[7]FY20 Initial Budget Alloca FTE'!F40*DN$1</f>
        <v>692866.58439759049</v>
      </c>
      <c r="DO40" s="81">
        <f t="shared" si="0"/>
        <v>34795.1</v>
      </c>
      <c r="DP40" s="81">
        <f t="shared" si="17"/>
        <v>299590.1322046346</v>
      </c>
      <c r="DQ40" s="74">
        <f t="shared" si="18"/>
        <v>358481.35219295591</v>
      </c>
      <c r="DR40" s="85">
        <f t="shared" si="25"/>
        <v>0.51738871561346234</v>
      </c>
      <c r="DS40" s="81">
        <f t="shared" si="19"/>
        <v>3184502.1141199111</v>
      </c>
      <c r="DT40" s="81">
        <f t="shared" si="1"/>
        <v>1939256.8540485855</v>
      </c>
      <c r="DU40" s="81">
        <f t="shared" si="2"/>
        <v>19838.959308717152</v>
      </c>
      <c r="DV40" s="81">
        <f t="shared" si="34"/>
        <v>181086.33000000002</v>
      </c>
      <c r="DW40" s="81">
        <f t="shared" si="29"/>
        <v>0</v>
      </c>
      <c r="DX40" s="81">
        <f t="shared" si="30"/>
        <v>0</v>
      </c>
      <c r="DY40" s="81">
        <f t="shared" si="31"/>
        <v>0</v>
      </c>
      <c r="DZ40" s="81">
        <f t="shared" si="32"/>
        <v>388291.54000000004</v>
      </c>
      <c r="EA40" s="74">
        <f t="shared" si="8"/>
        <v>358481.35219295591</v>
      </c>
      <c r="EB40" s="81">
        <f t="shared" si="33"/>
        <v>34795.1</v>
      </c>
      <c r="EC40" s="81">
        <f t="shared" si="33"/>
        <v>299590.1322046346</v>
      </c>
      <c r="ED40" s="86">
        <f t="shared" si="20"/>
        <v>0.51738871561346234</v>
      </c>
      <c r="EE40" s="81">
        <f t="shared" si="21"/>
        <v>692866.58439759049</v>
      </c>
      <c r="EF40" s="81">
        <f t="shared" si="22"/>
        <v>6405842.3818748053</v>
      </c>
      <c r="EG40" s="81">
        <f t="shared" si="10"/>
        <v>0</v>
      </c>
      <c r="EH40" s="81">
        <v>6538820.5637735706</v>
      </c>
      <c r="EI40" s="84">
        <f t="shared" si="35"/>
        <v>6017550.8418748053</v>
      </c>
      <c r="EJ40" s="74">
        <f t="shared" si="12"/>
        <v>-132978.18189876527</v>
      </c>
      <c r="EK40" s="74">
        <f t="shared" si="13"/>
        <v>-521269.7218987653</v>
      </c>
      <c r="EM40" s="88">
        <f t="shared" si="14"/>
        <v>353</v>
      </c>
      <c r="EN40" s="74">
        <v>353</v>
      </c>
      <c r="EO40" s="74">
        <f t="shared" si="15"/>
        <v>0</v>
      </c>
      <c r="EP40" s="72">
        <v>357</v>
      </c>
      <c r="EQ40" s="74">
        <f t="shared" si="23"/>
        <v>4</v>
      </c>
      <c r="ER40" s="72">
        <v>337</v>
      </c>
      <c r="ES40" s="74">
        <f t="shared" si="24"/>
        <v>16</v>
      </c>
      <c r="ET40" s="74"/>
      <c r="EU40" s="74"/>
      <c r="EV40" s="74"/>
      <c r="EW40" s="89"/>
      <c r="EX40" s="81">
        <f t="shared" si="26"/>
        <v>5459632.5123488195</v>
      </c>
      <c r="EY40" s="81">
        <f t="shared" si="27"/>
        <v>946209.86952598579</v>
      </c>
    </row>
    <row r="41" spans="1:155" x14ac:dyDescent="0.25">
      <c r="A41" s="76">
        <v>258</v>
      </c>
      <c r="B41" s="76" t="s">
        <v>179</v>
      </c>
      <c r="C41" s="77" t="s">
        <v>135</v>
      </c>
      <c r="D41" s="41">
        <v>3</v>
      </c>
      <c r="E41" s="78">
        <v>342</v>
      </c>
      <c r="F41" s="78">
        <v>38.415094339622641</v>
      </c>
      <c r="G41" s="79">
        <v>173177.12015668923</v>
      </c>
      <c r="H41" s="79">
        <v>109114.27619794433</v>
      </c>
      <c r="I41" s="79">
        <v>126355.69814102032</v>
      </c>
      <c r="J41" s="79">
        <v>0</v>
      </c>
      <c r="K41" s="79">
        <v>0</v>
      </c>
      <c r="L41" s="79">
        <v>81577.320156689224</v>
      </c>
      <c r="M41" s="79">
        <v>59319.676384927567</v>
      </c>
      <c r="N41" s="79">
        <v>0</v>
      </c>
      <c r="O41" s="79">
        <v>0</v>
      </c>
      <c r="P41" s="79">
        <v>0</v>
      </c>
      <c r="Q41" s="79"/>
      <c r="R41" s="79">
        <v>69375.836746740591</v>
      </c>
      <c r="S41" s="79">
        <v>54629.386746740587</v>
      </c>
      <c r="T41" s="79">
        <v>97917.473493481171</v>
      </c>
      <c r="U41" s="79">
        <v>109114.27619794433</v>
      </c>
      <c r="V41" s="79">
        <v>109114.27619794433</v>
      </c>
      <c r="W41" s="79">
        <v>109114.27619794433</v>
      </c>
      <c r="X41" s="79">
        <v>109114.27619794433</v>
      </c>
      <c r="Y41" s="79">
        <v>0</v>
      </c>
      <c r="Z41" s="79"/>
      <c r="AA41" s="79">
        <v>0</v>
      </c>
      <c r="AB41" s="79">
        <v>0</v>
      </c>
      <c r="AC41" s="79">
        <v>0</v>
      </c>
      <c r="AD41" s="79">
        <v>0</v>
      </c>
      <c r="AE41" s="79">
        <v>218228.55239588866</v>
      </c>
      <c r="AF41" s="79">
        <v>68805.252769855142</v>
      </c>
      <c r="AG41" s="79">
        <v>327342.82859383302</v>
      </c>
      <c r="AH41" s="79">
        <v>103207.87915478271</v>
      </c>
      <c r="AI41" s="79">
        <v>327342.82859383302</v>
      </c>
      <c r="AJ41" s="79">
        <v>327342.82859383302</v>
      </c>
      <c r="AK41" s="79">
        <v>218228.55239588866</v>
      </c>
      <c r="AL41" s="79">
        <v>218228.55239588866</v>
      </c>
      <c r="AM41" s="79">
        <v>218228.55239588866</v>
      </c>
      <c r="AN41" s="79">
        <v>0</v>
      </c>
      <c r="AO41" s="79">
        <v>0</v>
      </c>
      <c r="AP41" s="79">
        <v>0</v>
      </c>
      <c r="AQ41" s="79">
        <v>0</v>
      </c>
      <c r="AR41" s="79">
        <v>0</v>
      </c>
      <c r="AS41" s="79">
        <v>0</v>
      </c>
      <c r="AT41" s="79">
        <v>0</v>
      </c>
      <c r="AU41" s="79">
        <v>0</v>
      </c>
      <c r="AV41" s="79"/>
      <c r="AW41" s="79">
        <v>0</v>
      </c>
      <c r="AX41" s="79">
        <v>54557.138098972166</v>
      </c>
      <c r="AY41" s="79">
        <v>109114.27619794433</v>
      </c>
      <c r="AZ41" s="79">
        <v>654685.65718766605</v>
      </c>
      <c r="BA41" s="79">
        <v>206415.75830956543</v>
      </c>
      <c r="BB41" s="79">
        <v>0</v>
      </c>
      <c r="BC41" s="79">
        <v>0</v>
      </c>
      <c r="BD41" s="79">
        <v>436457.10479177732</v>
      </c>
      <c r="BE41" s="79">
        <v>0</v>
      </c>
      <c r="BF41" s="79">
        <v>0</v>
      </c>
      <c r="BG41" s="79">
        <v>0</v>
      </c>
      <c r="BH41" s="79">
        <v>0</v>
      </c>
      <c r="BI41" s="79">
        <v>0</v>
      </c>
      <c r="BJ41" s="79"/>
      <c r="BK41" s="79">
        <v>0</v>
      </c>
      <c r="BL41" s="79"/>
      <c r="BM41" s="79">
        <v>0</v>
      </c>
      <c r="BN41" s="79">
        <v>0</v>
      </c>
      <c r="BO41" s="79">
        <v>7800</v>
      </c>
      <c r="BP41" s="79">
        <v>0</v>
      </c>
      <c r="BQ41" s="79">
        <v>0</v>
      </c>
      <c r="BR41" s="79">
        <v>0</v>
      </c>
      <c r="BS41" s="79">
        <v>0</v>
      </c>
      <c r="BT41" s="79">
        <v>0</v>
      </c>
      <c r="BU41" s="79">
        <v>0</v>
      </c>
      <c r="BV41" s="80">
        <v>0</v>
      </c>
      <c r="BW41" s="80">
        <v>0</v>
      </c>
      <c r="BX41" s="80">
        <v>0</v>
      </c>
      <c r="BY41" s="80">
        <v>0</v>
      </c>
      <c r="BZ41" s="80">
        <v>0</v>
      </c>
      <c r="CA41" s="80">
        <v>0</v>
      </c>
      <c r="CB41" s="80">
        <v>0</v>
      </c>
      <c r="CC41" s="80">
        <v>0</v>
      </c>
      <c r="CD41" s="79">
        <v>0</v>
      </c>
      <c r="CE41" s="79">
        <v>0</v>
      </c>
      <c r="CF41" s="79">
        <v>0</v>
      </c>
      <c r="CG41" s="79">
        <v>0</v>
      </c>
      <c r="CH41" s="79">
        <v>0</v>
      </c>
      <c r="CI41" s="79">
        <v>0</v>
      </c>
      <c r="CJ41" s="79">
        <v>0</v>
      </c>
      <c r="CK41" s="79">
        <v>0</v>
      </c>
      <c r="CL41" s="79">
        <v>0</v>
      </c>
      <c r="CM41" s="79">
        <v>54082.8</v>
      </c>
      <c r="CN41" s="79">
        <v>0</v>
      </c>
      <c r="CO41" s="79">
        <v>0</v>
      </c>
      <c r="CP41" s="79">
        <v>0</v>
      </c>
      <c r="CQ41" s="79">
        <v>0</v>
      </c>
      <c r="CR41" s="79">
        <v>0</v>
      </c>
      <c r="CS41" s="79">
        <v>17550.636363636364</v>
      </c>
      <c r="CT41" s="79"/>
      <c r="CU41" s="79">
        <v>0</v>
      </c>
      <c r="CV41" s="79"/>
      <c r="CW41" s="79">
        <v>0</v>
      </c>
      <c r="CX41" s="79">
        <v>0</v>
      </c>
      <c r="CY41" s="79">
        <v>0</v>
      </c>
      <c r="CZ41" s="79">
        <v>0</v>
      </c>
      <c r="DA41" s="79">
        <v>34200</v>
      </c>
      <c r="DB41" s="79">
        <v>75607.365440535199</v>
      </c>
      <c r="DC41" s="82">
        <v>0</v>
      </c>
      <c r="DD41" s="79">
        <v>0</v>
      </c>
      <c r="DE41" s="79"/>
      <c r="DF41" s="79">
        <v>3000</v>
      </c>
      <c r="DG41" s="79">
        <v>0</v>
      </c>
      <c r="DH41" s="83">
        <v>0</v>
      </c>
      <c r="DI41" s="79">
        <v>14293.422387414617</v>
      </c>
      <c r="DJ41" s="79">
        <v>4888350.4564957982</v>
      </c>
      <c r="DK41" s="84">
        <v>3.5042017698287964E-3</v>
      </c>
      <c r="DL41" s="84">
        <v>0</v>
      </c>
      <c r="DM41" s="84">
        <f t="shared" si="16"/>
        <v>4888350.46</v>
      </c>
      <c r="DN41" s="84">
        <f>'[7]FY20 Initial Budget Alloca FTE'!F41*DN$1</f>
        <v>84354.169056603772</v>
      </c>
      <c r="DO41" s="81">
        <f t="shared" si="0"/>
        <v>0</v>
      </c>
      <c r="DP41" s="81">
        <f t="shared" si="17"/>
        <v>3000</v>
      </c>
      <c r="DQ41" s="74">
        <f t="shared" si="18"/>
        <v>81354.169056603772</v>
      </c>
      <c r="DR41" s="85">
        <f t="shared" si="25"/>
        <v>0.96443566413431303</v>
      </c>
      <c r="DS41" s="81">
        <f t="shared" si="19"/>
        <v>3280883.552853269</v>
      </c>
      <c r="DT41" s="81">
        <f t="shared" si="1"/>
        <v>1024772.829794148</v>
      </c>
      <c r="DU41" s="81">
        <f t="shared" si="2"/>
        <v>436457.10479177732</v>
      </c>
      <c r="DV41" s="81">
        <f t="shared" si="34"/>
        <v>7800</v>
      </c>
      <c r="DW41" s="81">
        <f t="shared" si="29"/>
        <v>0</v>
      </c>
      <c r="DX41" s="81">
        <f t="shared" si="30"/>
        <v>0</v>
      </c>
      <c r="DY41" s="81">
        <f t="shared" si="31"/>
        <v>0</v>
      </c>
      <c r="DZ41" s="81">
        <f t="shared" si="32"/>
        <v>54082.8</v>
      </c>
      <c r="EA41" s="74">
        <f t="shared" si="8"/>
        <v>81354.169056603772</v>
      </c>
      <c r="EB41" s="81">
        <f t="shared" si="33"/>
        <v>0</v>
      </c>
      <c r="EC41" s="81">
        <f t="shared" si="33"/>
        <v>3000</v>
      </c>
      <c r="ED41" s="86">
        <f t="shared" si="20"/>
        <v>0.96443566413431303</v>
      </c>
      <c r="EE41" s="81">
        <f t="shared" si="21"/>
        <v>84354.169056603772</v>
      </c>
      <c r="EF41" s="81">
        <f t="shared" si="22"/>
        <v>4888350.4564957982</v>
      </c>
      <c r="EG41" s="81">
        <f t="shared" si="10"/>
        <v>0</v>
      </c>
      <c r="EH41" s="81">
        <v>4394207.6301590148</v>
      </c>
      <c r="EI41" s="84">
        <f t="shared" si="35"/>
        <v>4834267.6564957984</v>
      </c>
      <c r="EJ41" s="74">
        <f t="shared" si="12"/>
        <v>494142.82633678336</v>
      </c>
      <c r="EK41" s="74">
        <f t="shared" si="13"/>
        <v>440060.02633678354</v>
      </c>
      <c r="EM41" s="88">
        <f t="shared" si="14"/>
        <v>342</v>
      </c>
      <c r="EN41" s="74">
        <v>334</v>
      </c>
      <c r="EO41" s="74">
        <f t="shared" si="15"/>
        <v>8</v>
      </c>
      <c r="EP41" s="72">
        <v>331</v>
      </c>
      <c r="EQ41" s="74">
        <f t="shared" si="23"/>
        <v>-3</v>
      </c>
      <c r="ER41" s="72">
        <v>324</v>
      </c>
      <c r="ES41" s="74">
        <f t="shared" si="24"/>
        <v>18</v>
      </c>
      <c r="ET41" s="74"/>
      <c r="EU41" s="74"/>
      <c r="EV41" s="74"/>
      <c r="EW41" s="89"/>
      <c r="EX41" s="81">
        <f t="shared" si="26"/>
        <v>4696109.6546916263</v>
      </c>
      <c r="EY41" s="81">
        <f t="shared" si="27"/>
        <v>192240.80180417158</v>
      </c>
    </row>
    <row r="42" spans="1:155" x14ac:dyDescent="0.25">
      <c r="A42" s="76">
        <v>249</v>
      </c>
      <c r="B42" s="76" t="s">
        <v>180</v>
      </c>
      <c r="C42" s="77" t="s">
        <v>135</v>
      </c>
      <c r="D42" s="41">
        <v>8</v>
      </c>
      <c r="E42" s="78">
        <v>339</v>
      </c>
      <c r="F42" s="78">
        <v>333</v>
      </c>
      <c r="G42" s="79">
        <v>173177.12015668923</v>
      </c>
      <c r="H42" s="79">
        <v>109114.27619794433</v>
      </c>
      <c r="I42" s="79">
        <v>112316.1761253514</v>
      </c>
      <c r="J42" s="79">
        <v>0</v>
      </c>
      <c r="K42" s="79">
        <v>0</v>
      </c>
      <c r="L42" s="79">
        <v>81577.320156689224</v>
      </c>
      <c r="M42" s="79">
        <v>59319.676384927567</v>
      </c>
      <c r="N42" s="79">
        <v>0</v>
      </c>
      <c r="O42" s="79">
        <v>0</v>
      </c>
      <c r="P42" s="79">
        <v>0</v>
      </c>
      <c r="Q42" s="79"/>
      <c r="R42" s="79">
        <v>69375.836746740591</v>
      </c>
      <c r="S42" s="79">
        <v>54629.386746740587</v>
      </c>
      <c r="T42" s="79">
        <v>97917.473493481171</v>
      </c>
      <c r="U42" s="79">
        <v>109114.27619794433</v>
      </c>
      <c r="V42" s="79">
        <v>109114.27619794433</v>
      </c>
      <c r="W42" s="79">
        <v>109114.27619794433</v>
      </c>
      <c r="X42" s="79">
        <v>109114.27619794433</v>
      </c>
      <c r="Y42" s="79">
        <v>0</v>
      </c>
      <c r="Z42" s="79"/>
      <c r="AA42" s="79">
        <v>218228.55239588866</v>
      </c>
      <c r="AB42" s="79">
        <v>68805.252769855142</v>
      </c>
      <c r="AC42" s="79">
        <v>0</v>
      </c>
      <c r="AD42" s="79">
        <v>0</v>
      </c>
      <c r="AE42" s="79">
        <v>218228.55239588866</v>
      </c>
      <c r="AF42" s="79">
        <v>68805.252769855142</v>
      </c>
      <c r="AG42" s="79">
        <v>327342.82859383302</v>
      </c>
      <c r="AH42" s="79">
        <v>103207.87915478271</v>
      </c>
      <c r="AI42" s="79">
        <v>327342.82859383302</v>
      </c>
      <c r="AJ42" s="79">
        <v>327342.82859383302</v>
      </c>
      <c r="AK42" s="79">
        <v>218228.55239588866</v>
      </c>
      <c r="AL42" s="79">
        <v>218228.55239588866</v>
      </c>
      <c r="AM42" s="79">
        <v>218228.55239588866</v>
      </c>
      <c r="AN42" s="79">
        <v>0</v>
      </c>
      <c r="AO42" s="79">
        <v>0</v>
      </c>
      <c r="AP42" s="79">
        <v>0</v>
      </c>
      <c r="AQ42" s="79">
        <v>0</v>
      </c>
      <c r="AR42" s="79">
        <v>0</v>
      </c>
      <c r="AS42" s="79">
        <v>0</v>
      </c>
      <c r="AT42" s="79">
        <v>0</v>
      </c>
      <c r="AU42" s="79">
        <v>0</v>
      </c>
      <c r="AV42" s="79"/>
      <c r="AW42" s="79">
        <v>0</v>
      </c>
      <c r="AX42" s="79">
        <v>109114.27619794433</v>
      </c>
      <c r="AY42" s="79">
        <v>218228.55239588866</v>
      </c>
      <c r="AZ42" s="79">
        <v>327342.82859383302</v>
      </c>
      <c r="BA42" s="79">
        <v>34402.626384927571</v>
      </c>
      <c r="BB42" s="79">
        <v>48063.47638492757</v>
      </c>
      <c r="BC42" s="79">
        <v>0</v>
      </c>
      <c r="BD42" s="79">
        <v>0</v>
      </c>
      <c r="BE42" s="79">
        <v>0</v>
      </c>
      <c r="BF42" s="79">
        <v>0</v>
      </c>
      <c r="BG42" s="79">
        <f>35916-BL42</f>
        <v>12721.8</v>
      </c>
      <c r="BH42" s="79">
        <v>33672</v>
      </c>
      <c r="BI42" s="79">
        <v>6734</v>
      </c>
      <c r="BJ42" s="79"/>
      <c r="BK42" s="79">
        <v>0</v>
      </c>
      <c r="BL42" s="79">
        <v>23194.2</v>
      </c>
      <c r="BM42" s="79">
        <v>180172.48</v>
      </c>
      <c r="BN42" s="79">
        <v>2867.01</v>
      </c>
      <c r="BO42" s="79">
        <v>0</v>
      </c>
      <c r="BP42" s="79">
        <v>0</v>
      </c>
      <c r="BQ42" s="79">
        <v>0</v>
      </c>
      <c r="BR42" s="79">
        <v>0</v>
      </c>
      <c r="BS42" s="79">
        <v>0</v>
      </c>
      <c r="BT42" s="79">
        <v>0</v>
      </c>
      <c r="BU42" s="79">
        <v>0</v>
      </c>
      <c r="BV42" s="80">
        <v>0</v>
      </c>
      <c r="BW42" s="80">
        <v>0</v>
      </c>
      <c r="BX42" s="80">
        <v>0</v>
      </c>
      <c r="BY42" s="80">
        <v>0</v>
      </c>
      <c r="BZ42" s="80">
        <v>0</v>
      </c>
      <c r="CA42" s="80">
        <v>0</v>
      </c>
      <c r="CB42" s="80">
        <v>0</v>
      </c>
      <c r="CC42" s="80">
        <v>0</v>
      </c>
      <c r="CD42" s="79">
        <v>0</v>
      </c>
      <c r="CE42" s="79">
        <v>0</v>
      </c>
      <c r="CF42" s="79">
        <v>0</v>
      </c>
      <c r="CG42" s="79">
        <v>0</v>
      </c>
      <c r="CH42" s="79">
        <v>0</v>
      </c>
      <c r="CI42" s="79">
        <v>0</v>
      </c>
      <c r="CJ42" s="79">
        <v>0</v>
      </c>
      <c r="CK42" s="79">
        <v>0</v>
      </c>
      <c r="CL42" s="79">
        <v>0</v>
      </c>
      <c r="CM42" s="79">
        <v>142677</v>
      </c>
      <c r="CN42" s="79">
        <v>0</v>
      </c>
      <c r="CO42" s="79">
        <v>0</v>
      </c>
      <c r="CP42" s="79">
        <v>0</v>
      </c>
      <c r="CQ42" s="79">
        <v>13320</v>
      </c>
      <c r="CR42" s="79">
        <v>0</v>
      </c>
      <c r="CS42" s="79">
        <v>18910.538461538461</v>
      </c>
      <c r="CT42" s="79"/>
      <c r="CU42" s="79">
        <v>0</v>
      </c>
      <c r="CV42" s="79"/>
      <c r="CW42" s="79">
        <v>0</v>
      </c>
      <c r="CX42" s="79">
        <v>0</v>
      </c>
      <c r="CY42" s="79">
        <v>0</v>
      </c>
      <c r="CZ42" s="79">
        <v>0</v>
      </c>
      <c r="DA42" s="79">
        <v>33900</v>
      </c>
      <c r="DB42" s="79">
        <v>68344.914787734087</v>
      </c>
      <c r="DC42" s="82">
        <v>0</v>
      </c>
      <c r="DD42" s="79">
        <v>15363.214285714286</v>
      </c>
      <c r="DE42" s="79"/>
      <c r="DF42" s="79">
        <v>42000</v>
      </c>
      <c r="DG42" s="79">
        <v>0</v>
      </c>
      <c r="DH42" s="83"/>
      <c r="DI42" s="79">
        <v>14274.049913711753</v>
      </c>
      <c r="DJ42" s="79">
        <v>4838902.9207482841</v>
      </c>
      <c r="DK42" s="84">
        <v>218228.07925171591</v>
      </c>
      <c r="DL42" s="84">
        <v>377987.64</v>
      </c>
      <c r="DM42" s="84">
        <f t="shared" si="16"/>
        <v>5435118.6399999997</v>
      </c>
      <c r="DN42" s="84">
        <f>'[7]FY20 Initial Budget Alloca FTE'!F42*DN$1</f>
        <v>731221.38</v>
      </c>
      <c r="DO42" s="81">
        <f t="shared" si="0"/>
        <v>53127.8</v>
      </c>
      <c r="DP42" s="81">
        <f t="shared" si="17"/>
        <v>55320</v>
      </c>
      <c r="DQ42" s="74">
        <f t="shared" si="18"/>
        <v>622773.57999999996</v>
      </c>
      <c r="DR42" s="85">
        <f t="shared" si="25"/>
        <v>0.85168951159496997</v>
      </c>
      <c r="DS42" s="81">
        <f t="shared" si="19"/>
        <v>3006255.8765050485</v>
      </c>
      <c r="DT42" s="81">
        <f t="shared" si="1"/>
        <v>737151.75995752111</v>
      </c>
      <c r="DU42" s="81">
        <f t="shared" si="2"/>
        <v>0</v>
      </c>
      <c r="DV42" s="81">
        <f t="shared" si="34"/>
        <v>206233.69000000003</v>
      </c>
      <c r="DW42" s="81">
        <f t="shared" si="29"/>
        <v>15363.214285714286</v>
      </c>
      <c r="DX42" s="81">
        <f t="shared" si="30"/>
        <v>0</v>
      </c>
      <c r="DY42" s="81">
        <f t="shared" si="31"/>
        <v>0</v>
      </c>
      <c r="DZ42" s="81">
        <f t="shared" si="32"/>
        <v>142677</v>
      </c>
      <c r="EA42" s="74">
        <f t="shared" si="8"/>
        <v>622773.57999999996</v>
      </c>
      <c r="EB42" s="81">
        <f t="shared" si="33"/>
        <v>53127.8</v>
      </c>
      <c r="EC42" s="81">
        <f t="shared" si="33"/>
        <v>55320</v>
      </c>
      <c r="ED42" s="86">
        <f t="shared" si="20"/>
        <v>0.85168951159496997</v>
      </c>
      <c r="EE42" s="81">
        <f t="shared" si="21"/>
        <v>731221.38</v>
      </c>
      <c r="EF42" s="81">
        <f t="shared" si="22"/>
        <v>4838902.9207482832</v>
      </c>
      <c r="EG42" s="81">
        <f t="shared" si="10"/>
        <v>0</v>
      </c>
      <c r="EH42" s="81">
        <v>5823969.8518771529</v>
      </c>
      <c r="EI42" s="84">
        <f t="shared" si="35"/>
        <v>4696225.9207482841</v>
      </c>
      <c r="EJ42" s="74">
        <f t="shared" si="12"/>
        <v>-985066.93112886883</v>
      </c>
      <c r="EK42" s="74">
        <f t="shared" si="13"/>
        <v>-1127743.9311288688</v>
      </c>
      <c r="EM42" s="88">
        <f t="shared" si="14"/>
        <v>339</v>
      </c>
      <c r="EN42" s="74">
        <v>349</v>
      </c>
      <c r="EO42" s="74">
        <f t="shared" si="15"/>
        <v>-10</v>
      </c>
      <c r="EP42" s="72">
        <v>366</v>
      </c>
      <c r="EQ42" s="74">
        <f t="shared" si="23"/>
        <v>17</v>
      </c>
      <c r="ER42" s="72">
        <v>344</v>
      </c>
      <c r="ES42" s="74">
        <f t="shared" si="24"/>
        <v>-5</v>
      </c>
      <c r="ET42" s="74"/>
      <c r="EU42" s="74"/>
      <c r="EV42" s="74"/>
      <c r="EW42" s="89"/>
      <c r="EX42" s="81">
        <f t="shared" si="26"/>
        <v>4298153.5632132972</v>
      </c>
      <c r="EY42" s="81">
        <f t="shared" si="27"/>
        <v>540749.35753498692</v>
      </c>
    </row>
    <row r="43" spans="1:155" x14ac:dyDescent="0.25">
      <c r="A43" s="76">
        <v>251</v>
      </c>
      <c r="B43" s="76" t="s">
        <v>181</v>
      </c>
      <c r="C43" s="77" t="s">
        <v>135</v>
      </c>
      <c r="D43" s="41">
        <v>7</v>
      </c>
      <c r="E43" s="78">
        <v>256</v>
      </c>
      <c r="F43" s="78">
        <v>210.19795221843003</v>
      </c>
      <c r="G43" s="79">
        <v>173177.12015668923</v>
      </c>
      <c r="H43" s="79">
        <v>109114.27619794433</v>
      </c>
      <c r="I43" s="79">
        <v>0</v>
      </c>
      <c r="J43" s="79">
        <v>0</v>
      </c>
      <c r="K43" s="79">
        <v>0</v>
      </c>
      <c r="L43" s="79">
        <v>40788.660078344612</v>
      </c>
      <c r="M43" s="79">
        <v>59319.676384927567</v>
      </c>
      <c r="N43" s="79">
        <v>0</v>
      </c>
      <c r="O43" s="79">
        <v>0</v>
      </c>
      <c r="P43" s="79">
        <v>0</v>
      </c>
      <c r="Q43" s="79"/>
      <c r="R43" s="79">
        <v>69375.836746740591</v>
      </c>
      <c r="S43" s="79">
        <v>54629.386746740587</v>
      </c>
      <c r="T43" s="79">
        <v>48958.736746740586</v>
      </c>
      <c r="U43" s="79">
        <v>54557.138098972166</v>
      </c>
      <c r="V43" s="79">
        <v>109114.27619794433</v>
      </c>
      <c r="W43" s="79">
        <v>109114.27619794433</v>
      </c>
      <c r="X43" s="79">
        <v>109114.27619794433</v>
      </c>
      <c r="Y43" s="79">
        <v>0</v>
      </c>
      <c r="Z43" s="79"/>
      <c r="AA43" s="79">
        <v>218228.55239588866</v>
      </c>
      <c r="AB43" s="79">
        <v>68805.252769855142</v>
      </c>
      <c r="AC43" s="79">
        <v>0</v>
      </c>
      <c r="AD43" s="79">
        <v>0</v>
      </c>
      <c r="AE43" s="79">
        <v>218228.55239588866</v>
      </c>
      <c r="AF43" s="79">
        <v>68805.252769855142</v>
      </c>
      <c r="AG43" s="79">
        <v>218228.55239588866</v>
      </c>
      <c r="AH43" s="79">
        <v>68805.252769855142</v>
      </c>
      <c r="AI43" s="79">
        <v>218228.55239588866</v>
      </c>
      <c r="AJ43" s="79">
        <v>218228.55239588866</v>
      </c>
      <c r="AK43" s="79">
        <v>218228.55239588866</v>
      </c>
      <c r="AL43" s="79">
        <v>218228.55239588866</v>
      </c>
      <c r="AM43" s="79">
        <v>109114.27619794433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v>0</v>
      </c>
      <c r="AU43" s="79">
        <v>0</v>
      </c>
      <c r="AV43" s="79"/>
      <c r="AW43" s="79">
        <v>0</v>
      </c>
      <c r="AX43" s="79">
        <v>109114.27619794433</v>
      </c>
      <c r="AY43" s="79">
        <v>109114.27619794433</v>
      </c>
      <c r="AZ43" s="79">
        <v>654685.65718766605</v>
      </c>
      <c r="BA43" s="79">
        <v>275221.01107942057</v>
      </c>
      <c r="BB43" s="79">
        <v>0</v>
      </c>
      <c r="BC43" s="79">
        <v>105202</v>
      </c>
      <c r="BD43" s="79">
        <v>109114.27619794433</v>
      </c>
      <c r="BE43" s="79">
        <v>0</v>
      </c>
      <c r="BF43" s="79">
        <v>0</v>
      </c>
      <c r="BG43" s="79">
        <f>29930-BL43</f>
        <v>12721.400000000001</v>
      </c>
      <c r="BH43" s="79">
        <v>28060</v>
      </c>
      <c r="BI43" s="79">
        <v>6734</v>
      </c>
      <c r="BJ43" s="79"/>
      <c r="BK43" s="79">
        <v>0</v>
      </c>
      <c r="BL43" s="79">
        <v>17208.599999999999</v>
      </c>
      <c r="BM43" s="79">
        <v>126928.9</v>
      </c>
      <c r="BN43" s="79">
        <v>2019.77</v>
      </c>
      <c r="BO43" s="79">
        <v>0</v>
      </c>
      <c r="BP43" s="79">
        <v>0</v>
      </c>
      <c r="BQ43" s="79">
        <v>0</v>
      </c>
      <c r="BR43" s="79">
        <v>0</v>
      </c>
      <c r="BS43" s="79">
        <v>0</v>
      </c>
      <c r="BT43" s="79">
        <v>0</v>
      </c>
      <c r="BU43" s="79">
        <v>0</v>
      </c>
      <c r="BV43" s="80">
        <v>0</v>
      </c>
      <c r="BW43" s="80">
        <v>0</v>
      </c>
      <c r="BX43" s="80">
        <v>0</v>
      </c>
      <c r="BY43" s="80">
        <v>0</v>
      </c>
      <c r="BZ43" s="80">
        <v>0</v>
      </c>
      <c r="CA43" s="80">
        <v>0</v>
      </c>
      <c r="CB43" s="80">
        <v>0</v>
      </c>
      <c r="CC43" s="80">
        <v>0</v>
      </c>
      <c r="CD43" s="79">
        <v>0</v>
      </c>
      <c r="CE43" s="79">
        <v>0</v>
      </c>
      <c r="CF43" s="79">
        <v>0</v>
      </c>
      <c r="CG43" s="79">
        <v>0</v>
      </c>
      <c r="CH43" s="79">
        <v>0</v>
      </c>
      <c r="CI43" s="79">
        <v>0</v>
      </c>
      <c r="CJ43" s="79">
        <v>0</v>
      </c>
      <c r="CK43" s="79">
        <v>0</v>
      </c>
      <c r="CL43" s="79">
        <v>0</v>
      </c>
      <c r="CM43" s="79">
        <v>108165.6</v>
      </c>
      <c r="CN43" s="79">
        <v>0</v>
      </c>
      <c r="CO43" s="79">
        <v>0</v>
      </c>
      <c r="CP43" s="79">
        <v>0</v>
      </c>
      <c r="CQ43" s="79">
        <v>8407.9180887372022</v>
      </c>
      <c r="CR43" s="79">
        <v>49680</v>
      </c>
      <c r="CS43" s="79">
        <v>15006.432160804019</v>
      </c>
      <c r="CT43" s="79"/>
      <c r="CU43" s="79">
        <v>0</v>
      </c>
      <c r="CV43" s="79"/>
      <c r="CW43" s="79">
        <v>0</v>
      </c>
      <c r="CX43" s="79">
        <v>0</v>
      </c>
      <c r="CY43" s="79">
        <v>0</v>
      </c>
      <c r="CZ43" s="79">
        <v>0</v>
      </c>
      <c r="DA43" s="79">
        <v>25600</v>
      </c>
      <c r="DB43" s="79">
        <v>67499.65343203838</v>
      </c>
      <c r="DC43" s="82">
        <v>0</v>
      </c>
      <c r="DD43" s="79">
        <v>0</v>
      </c>
      <c r="DE43" s="79"/>
      <c r="DF43" s="79">
        <v>15000</v>
      </c>
      <c r="DG43" s="79">
        <v>0</v>
      </c>
      <c r="DH43" s="83">
        <v>0</v>
      </c>
      <c r="DI43" s="79">
        <v>18069.833326453761</v>
      </c>
      <c r="DJ43" s="79">
        <v>4625877.3315721601</v>
      </c>
      <c r="DK43" s="84">
        <v>109114.66842783988</v>
      </c>
      <c r="DL43" s="84">
        <v>0</v>
      </c>
      <c r="DM43" s="84">
        <f t="shared" si="16"/>
        <v>4734992</v>
      </c>
      <c r="DN43" s="84">
        <f>'[7]FY20 Initial Budget Alloca FTE'!F43*DN$1</f>
        <v>461565.27535836177</v>
      </c>
      <c r="DO43" s="81">
        <f t="shared" si="0"/>
        <v>47515.4</v>
      </c>
      <c r="DP43" s="81">
        <f t="shared" si="17"/>
        <v>73087.918088737206</v>
      </c>
      <c r="DQ43" s="74">
        <f t="shared" si="18"/>
        <v>340961.95726962457</v>
      </c>
      <c r="DR43" s="85">
        <f t="shared" si="25"/>
        <v>0.7387079909876233</v>
      </c>
      <c r="DS43" s="81">
        <f t="shared" si="19"/>
        <v>2547537.6893528802</v>
      </c>
      <c r="DT43" s="81">
        <f t="shared" si="1"/>
        <v>1253337.2206629752</v>
      </c>
      <c r="DU43" s="81">
        <f t="shared" si="2"/>
        <v>109114.27619794433</v>
      </c>
      <c r="DV43" s="81">
        <f t="shared" si="34"/>
        <v>146157.26999999999</v>
      </c>
      <c r="DW43" s="81">
        <f t="shared" si="29"/>
        <v>0</v>
      </c>
      <c r="DX43" s="81">
        <f t="shared" si="30"/>
        <v>0</v>
      </c>
      <c r="DY43" s="81">
        <f t="shared" si="31"/>
        <v>0</v>
      </c>
      <c r="DZ43" s="81">
        <f t="shared" si="32"/>
        <v>108165.6</v>
      </c>
      <c r="EA43" s="74">
        <f t="shared" si="8"/>
        <v>340961.95726962457</v>
      </c>
      <c r="EB43" s="81">
        <f t="shared" si="33"/>
        <v>47515.4</v>
      </c>
      <c r="EC43" s="81">
        <f t="shared" si="33"/>
        <v>73087.918088737206</v>
      </c>
      <c r="ED43" s="86">
        <f t="shared" si="20"/>
        <v>0.7387079909876233</v>
      </c>
      <c r="EE43" s="81">
        <f t="shared" si="21"/>
        <v>461565.27535836177</v>
      </c>
      <c r="EF43" s="81">
        <f t="shared" si="22"/>
        <v>4625877.331572162</v>
      </c>
      <c r="EG43" s="81">
        <f t="shared" si="10"/>
        <v>0</v>
      </c>
      <c r="EH43" s="81">
        <v>4361330.1384039633</v>
      </c>
      <c r="EI43" s="84">
        <f t="shared" si="35"/>
        <v>4517711.7315721605</v>
      </c>
      <c r="EJ43" s="74">
        <f t="shared" si="12"/>
        <v>264547.19316819683</v>
      </c>
      <c r="EK43" s="74">
        <f t="shared" si="13"/>
        <v>156381.5931681972</v>
      </c>
      <c r="EM43" s="88">
        <f t="shared" si="14"/>
        <v>256</v>
      </c>
      <c r="EN43" s="74">
        <v>263</v>
      </c>
      <c r="EO43" s="74">
        <f t="shared" si="15"/>
        <v>-7</v>
      </c>
      <c r="EP43" s="72">
        <v>277</v>
      </c>
      <c r="EQ43" s="74">
        <f t="shared" si="23"/>
        <v>14</v>
      </c>
      <c r="ER43" s="72">
        <v>265</v>
      </c>
      <c r="ES43" s="74">
        <f t="shared" si="24"/>
        <v>-9</v>
      </c>
      <c r="ET43" s="74"/>
      <c r="EU43" s="74"/>
      <c r="EV43" s="74"/>
      <c r="EW43" s="89"/>
      <c r="EX43" s="81">
        <f t="shared" si="26"/>
        <v>4190360.4578905813</v>
      </c>
      <c r="EY43" s="81">
        <f t="shared" si="27"/>
        <v>435516.8736815796</v>
      </c>
    </row>
    <row r="44" spans="1:155" x14ac:dyDescent="0.25">
      <c r="A44" s="76">
        <v>252</v>
      </c>
      <c r="B44" s="76" t="s">
        <v>182</v>
      </c>
      <c r="C44" s="77" t="s">
        <v>135</v>
      </c>
      <c r="D44" s="41">
        <v>2</v>
      </c>
      <c r="E44" s="78">
        <v>371</v>
      </c>
      <c r="F44" s="78">
        <v>40</v>
      </c>
      <c r="G44" s="79">
        <v>173177.12015668923</v>
      </c>
      <c r="H44" s="79">
        <v>109114.27619794433</v>
      </c>
      <c r="I44" s="79">
        <v>126355.69814102032</v>
      </c>
      <c r="J44" s="79">
        <v>0</v>
      </c>
      <c r="K44" s="79">
        <v>0</v>
      </c>
      <c r="L44" s="79">
        <v>81577.320156689224</v>
      </c>
      <c r="M44" s="79">
        <v>59319.676384927567</v>
      </c>
      <c r="N44" s="79">
        <v>0</v>
      </c>
      <c r="O44" s="79">
        <v>0</v>
      </c>
      <c r="P44" s="79">
        <v>0</v>
      </c>
      <c r="Q44" s="79"/>
      <c r="R44" s="79">
        <v>69375.836746740591</v>
      </c>
      <c r="S44" s="79">
        <v>54629.386746740587</v>
      </c>
      <c r="T44" s="79">
        <v>97917.473493481171</v>
      </c>
      <c r="U44" s="79">
        <v>109114.27619794433</v>
      </c>
      <c r="V44" s="79">
        <v>109114.27619794433</v>
      </c>
      <c r="W44" s="79">
        <v>109114.27619794433</v>
      </c>
      <c r="X44" s="79">
        <v>109114.27619794433</v>
      </c>
      <c r="Y44" s="79">
        <v>0</v>
      </c>
      <c r="Z44" s="79"/>
      <c r="AA44" s="79">
        <v>109114.27619794433</v>
      </c>
      <c r="AB44" s="79">
        <v>34402.626384927571</v>
      </c>
      <c r="AC44" s="79">
        <v>0</v>
      </c>
      <c r="AD44" s="79">
        <v>0</v>
      </c>
      <c r="AE44" s="79">
        <v>218228.55239588866</v>
      </c>
      <c r="AF44" s="79">
        <v>68805.252769855142</v>
      </c>
      <c r="AG44" s="79">
        <v>327342.82859383302</v>
      </c>
      <c r="AH44" s="79">
        <v>103207.87915478271</v>
      </c>
      <c r="AI44" s="79">
        <v>327342.82859383302</v>
      </c>
      <c r="AJ44" s="79">
        <v>327342.82859383302</v>
      </c>
      <c r="AK44" s="79">
        <v>218228.55239588866</v>
      </c>
      <c r="AL44" s="79">
        <v>218228.55239588866</v>
      </c>
      <c r="AM44" s="79">
        <v>218228.55239588866</v>
      </c>
      <c r="AN44" s="79">
        <v>0</v>
      </c>
      <c r="AO44" s="79">
        <v>0</v>
      </c>
      <c r="AP44" s="79">
        <v>0</v>
      </c>
      <c r="AQ44" s="79">
        <v>0</v>
      </c>
      <c r="AR44" s="79">
        <v>0</v>
      </c>
      <c r="AS44" s="79">
        <v>0</v>
      </c>
      <c r="AT44" s="79">
        <v>0</v>
      </c>
      <c r="AU44" s="79">
        <v>0</v>
      </c>
      <c r="AV44" s="79"/>
      <c r="AW44" s="79">
        <v>0</v>
      </c>
      <c r="AX44" s="79">
        <v>54557.138098972166</v>
      </c>
      <c r="AY44" s="79">
        <v>109114.27619794433</v>
      </c>
      <c r="AZ44" s="79">
        <v>218228.55239588866</v>
      </c>
      <c r="BA44" s="79">
        <v>0</v>
      </c>
      <c r="BB44" s="79">
        <v>0</v>
      </c>
      <c r="BC44" s="79">
        <v>0</v>
      </c>
      <c r="BD44" s="79">
        <v>218228.55239588866</v>
      </c>
      <c r="BE44" s="79">
        <v>0</v>
      </c>
      <c r="BF44" s="79">
        <v>0</v>
      </c>
      <c r="BG44" s="79">
        <v>0</v>
      </c>
      <c r="BH44" s="79">
        <v>0</v>
      </c>
      <c r="BI44" s="79">
        <v>0</v>
      </c>
      <c r="BJ44" s="79"/>
      <c r="BK44" s="79">
        <v>0</v>
      </c>
      <c r="BL44" s="79"/>
      <c r="BM44" s="79">
        <v>0</v>
      </c>
      <c r="BN44" s="79">
        <v>0</v>
      </c>
      <c r="BO44" s="79">
        <v>8000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0</v>
      </c>
      <c r="BV44" s="80">
        <v>0</v>
      </c>
      <c r="BW44" s="80">
        <v>0</v>
      </c>
      <c r="BX44" s="80">
        <v>0</v>
      </c>
      <c r="BY44" s="80">
        <v>0</v>
      </c>
      <c r="BZ44" s="80">
        <v>0</v>
      </c>
      <c r="CA44" s="80">
        <v>0</v>
      </c>
      <c r="CB44" s="80">
        <v>0</v>
      </c>
      <c r="CC44" s="80">
        <v>0</v>
      </c>
      <c r="CD44" s="79">
        <v>0</v>
      </c>
      <c r="CE44" s="79">
        <v>0</v>
      </c>
      <c r="CF44" s="79">
        <v>0</v>
      </c>
      <c r="CG44" s="79">
        <v>0</v>
      </c>
      <c r="CH44" s="79">
        <v>0</v>
      </c>
      <c r="CI44" s="79">
        <v>0</v>
      </c>
      <c r="CJ44" s="79">
        <v>0</v>
      </c>
      <c r="CK44" s="79">
        <v>0</v>
      </c>
      <c r="CL44" s="79">
        <v>0</v>
      </c>
      <c r="CM44" s="79">
        <v>108165.6</v>
      </c>
      <c r="CN44" s="79">
        <v>0</v>
      </c>
      <c r="CO44" s="79">
        <v>0</v>
      </c>
      <c r="CP44" s="79">
        <v>0</v>
      </c>
      <c r="CQ44" s="79">
        <v>0</v>
      </c>
      <c r="CR44" s="79">
        <v>0</v>
      </c>
      <c r="CS44" s="79">
        <v>18883.055555555555</v>
      </c>
      <c r="CT44" s="79"/>
      <c r="CU44" s="79">
        <v>0</v>
      </c>
      <c r="CV44" s="79"/>
      <c r="CW44" s="79">
        <v>0</v>
      </c>
      <c r="CX44" s="79">
        <v>0</v>
      </c>
      <c r="CY44" s="79">
        <v>0</v>
      </c>
      <c r="CZ44" s="79">
        <v>0</v>
      </c>
      <c r="DA44" s="79">
        <v>37100</v>
      </c>
      <c r="DB44" s="79">
        <v>64054.254782614007</v>
      </c>
      <c r="DC44" s="82">
        <v>0</v>
      </c>
      <c r="DD44" s="79">
        <v>0</v>
      </c>
      <c r="DE44" s="79"/>
      <c r="DF44" s="79">
        <v>1950</v>
      </c>
      <c r="DG44" s="79">
        <v>0</v>
      </c>
      <c r="DH44" s="83">
        <v>0</v>
      </c>
      <c r="DI44" s="79">
        <v>11365.709035351583</v>
      </c>
      <c r="DJ44" s="79">
        <v>4216678.0521154366</v>
      </c>
      <c r="DK44" s="84">
        <v>109113.94788456336</v>
      </c>
      <c r="DL44" s="84">
        <v>0</v>
      </c>
      <c r="DM44" s="84">
        <f t="shared" si="16"/>
        <v>4325792</v>
      </c>
      <c r="DN44" s="84">
        <f>'[7]FY20 Initial Budget Alloca FTE'!F44*DN$1</f>
        <v>87834.400000000009</v>
      </c>
      <c r="DO44" s="81">
        <f t="shared" si="0"/>
        <v>0</v>
      </c>
      <c r="DP44" s="81">
        <f t="shared" si="17"/>
        <v>1950</v>
      </c>
      <c r="DQ44" s="74">
        <f t="shared" si="18"/>
        <v>85884.400000000009</v>
      </c>
      <c r="DR44" s="85">
        <f t="shared" si="25"/>
        <v>0.97779913109214611</v>
      </c>
      <c r="DS44" s="81">
        <f t="shared" si="19"/>
        <v>3412549.5330267427</v>
      </c>
      <c r="DT44" s="81">
        <f t="shared" si="1"/>
        <v>381899.96669280517</v>
      </c>
      <c r="DU44" s="81">
        <f t="shared" si="2"/>
        <v>218228.55239588866</v>
      </c>
      <c r="DV44" s="81">
        <f t="shared" si="34"/>
        <v>8000</v>
      </c>
      <c r="DW44" s="81">
        <f t="shared" si="29"/>
        <v>0</v>
      </c>
      <c r="DX44" s="81">
        <f t="shared" si="30"/>
        <v>0</v>
      </c>
      <c r="DY44" s="81">
        <f t="shared" si="31"/>
        <v>0</v>
      </c>
      <c r="DZ44" s="81">
        <f t="shared" si="32"/>
        <v>108165.6</v>
      </c>
      <c r="EA44" s="74">
        <f t="shared" si="8"/>
        <v>85884.400000000009</v>
      </c>
      <c r="EB44" s="81">
        <f t="shared" si="33"/>
        <v>0</v>
      </c>
      <c r="EC44" s="81">
        <f t="shared" si="33"/>
        <v>1950</v>
      </c>
      <c r="ED44" s="86">
        <f t="shared" si="20"/>
        <v>0.97779913109214611</v>
      </c>
      <c r="EE44" s="81">
        <f t="shared" si="21"/>
        <v>87834.400000000009</v>
      </c>
      <c r="EF44" s="81">
        <f t="shared" si="22"/>
        <v>4216678.0521154366</v>
      </c>
      <c r="EG44" s="81">
        <f t="shared" si="10"/>
        <v>0</v>
      </c>
      <c r="EH44" s="81">
        <v>4083653.6234554034</v>
      </c>
      <c r="EI44" s="84">
        <f t="shared" si="35"/>
        <v>4108512.4521154366</v>
      </c>
      <c r="EJ44" s="74">
        <f t="shared" si="12"/>
        <v>133024.42866003327</v>
      </c>
      <c r="EK44" s="74">
        <f t="shared" si="13"/>
        <v>24858.828660033178</v>
      </c>
      <c r="EM44" s="88">
        <f t="shared" si="14"/>
        <v>371</v>
      </c>
      <c r="EN44" s="74">
        <v>350</v>
      </c>
      <c r="EO44" s="74">
        <f t="shared" si="15"/>
        <v>21</v>
      </c>
      <c r="EP44" s="72">
        <v>352</v>
      </c>
      <c r="EQ44" s="74">
        <f t="shared" si="23"/>
        <v>2</v>
      </c>
      <c r="ER44" s="72">
        <v>340</v>
      </c>
      <c r="ES44" s="74">
        <f t="shared" si="24"/>
        <v>31</v>
      </c>
      <c r="ET44" s="74"/>
      <c r="EU44" s="74"/>
      <c r="EV44" s="74"/>
      <c r="EW44" s="89"/>
      <c r="EX44" s="81">
        <f t="shared" si="26"/>
        <v>3978525.1417772672</v>
      </c>
      <c r="EY44" s="81">
        <f t="shared" si="27"/>
        <v>238152.91033816957</v>
      </c>
    </row>
    <row r="45" spans="1:155" ht="16.5" customHeight="1" x14ac:dyDescent="0.25">
      <c r="A45" s="76">
        <v>950</v>
      </c>
      <c r="B45" s="76" t="s">
        <v>183</v>
      </c>
      <c r="C45" s="77" t="s">
        <v>184</v>
      </c>
      <c r="D45" s="41">
        <v>7</v>
      </c>
      <c r="E45" s="78">
        <v>32</v>
      </c>
      <c r="F45" s="78">
        <v>0</v>
      </c>
      <c r="G45" s="79">
        <v>0</v>
      </c>
      <c r="H45" s="79">
        <v>54557.138098972166</v>
      </c>
      <c r="I45" s="79">
        <v>0</v>
      </c>
      <c r="J45" s="79">
        <v>0</v>
      </c>
      <c r="K45" s="79">
        <v>0</v>
      </c>
      <c r="L45" s="79">
        <v>40788.660078344612</v>
      </c>
      <c r="M45" s="79">
        <v>59319.676384927567</v>
      </c>
      <c r="N45" s="79">
        <v>0</v>
      </c>
      <c r="O45" s="79">
        <v>0</v>
      </c>
      <c r="P45" s="79">
        <v>0</v>
      </c>
      <c r="Q45" s="79"/>
      <c r="R45" s="79">
        <v>0</v>
      </c>
      <c r="S45" s="79">
        <v>0</v>
      </c>
      <c r="T45" s="79">
        <v>0</v>
      </c>
      <c r="U45" s="79">
        <v>54557.138098972166</v>
      </c>
      <c r="V45" s="79">
        <v>0</v>
      </c>
      <c r="W45" s="79">
        <v>0</v>
      </c>
      <c r="X45" s="79">
        <v>0</v>
      </c>
      <c r="Y45" s="79">
        <v>54557.138098972166</v>
      </c>
      <c r="Z45" s="79"/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54557.138098972166</v>
      </c>
      <c r="AR45" s="79">
        <v>32734.282859383296</v>
      </c>
      <c r="AS45" s="79">
        <v>32734.282859383296</v>
      </c>
      <c r="AT45" s="79">
        <v>32734.282859383296</v>
      </c>
      <c r="AU45" s="79">
        <v>0</v>
      </c>
      <c r="AV45" s="79"/>
      <c r="AW45" s="79">
        <v>0</v>
      </c>
      <c r="AX45" s="79">
        <v>54557.138098972166</v>
      </c>
      <c r="AY45" s="79">
        <v>109114.27619794433</v>
      </c>
      <c r="AZ45" s="79">
        <v>436457.10479177732</v>
      </c>
      <c r="BA45" s="79">
        <v>0</v>
      </c>
      <c r="BB45" s="79">
        <v>0</v>
      </c>
      <c r="BC45" s="79">
        <v>0</v>
      </c>
      <c r="BD45" s="79">
        <v>9919.4796543585762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20000</v>
      </c>
      <c r="BK45" s="79">
        <v>0</v>
      </c>
      <c r="BL45" s="79"/>
      <c r="BM45" s="79">
        <v>0</v>
      </c>
      <c r="BN45" s="79">
        <v>0</v>
      </c>
      <c r="BO45" s="79">
        <v>1000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80">
        <v>0</v>
      </c>
      <c r="BW45" s="80">
        <v>0</v>
      </c>
      <c r="BX45" s="80">
        <v>0</v>
      </c>
      <c r="BY45" s="80">
        <v>0</v>
      </c>
      <c r="BZ45" s="80">
        <v>0</v>
      </c>
      <c r="CA45" s="80">
        <v>0</v>
      </c>
      <c r="CB45" s="80">
        <v>0</v>
      </c>
      <c r="CC45" s="80">
        <v>0</v>
      </c>
      <c r="CD45" s="79">
        <v>0</v>
      </c>
      <c r="CE45" s="79">
        <v>0</v>
      </c>
      <c r="CF45" s="79">
        <v>0</v>
      </c>
      <c r="CG45" s="79">
        <v>0</v>
      </c>
      <c r="CH45" s="79">
        <v>0</v>
      </c>
      <c r="CI45" s="79">
        <v>0</v>
      </c>
      <c r="CJ45" s="79">
        <v>0</v>
      </c>
      <c r="CK45" s="79">
        <v>0</v>
      </c>
      <c r="CL45" s="79">
        <v>0</v>
      </c>
      <c r="CM45" s="79">
        <v>0</v>
      </c>
      <c r="CN45" s="79">
        <v>0</v>
      </c>
      <c r="CO45" s="79">
        <v>0</v>
      </c>
      <c r="CP45" s="79">
        <v>0</v>
      </c>
      <c r="CQ45" s="79">
        <v>0</v>
      </c>
      <c r="CR45" s="79">
        <v>0</v>
      </c>
      <c r="CS45" s="79">
        <v>6195.2</v>
      </c>
      <c r="CT45" s="79"/>
      <c r="CU45" s="79">
        <v>0</v>
      </c>
      <c r="CV45" s="79"/>
      <c r="CW45" s="79">
        <v>0</v>
      </c>
      <c r="CX45" s="79">
        <v>0</v>
      </c>
      <c r="CY45" s="79">
        <v>0</v>
      </c>
      <c r="CZ45" s="79">
        <v>0</v>
      </c>
      <c r="DA45" s="79">
        <v>3200</v>
      </c>
      <c r="DB45" s="79">
        <v>16528.062552503849</v>
      </c>
      <c r="DC45" s="82">
        <v>0</v>
      </c>
      <c r="DD45" s="79">
        <v>70880</v>
      </c>
      <c r="DE45" s="79">
        <v>1350</v>
      </c>
      <c r="DG45" s="79">
        <v>0</v>
      </c>
      <c r="DH45" s="83">
        <v>0</v>
      </c>
      <c r="DI45" s="79">
        <v>35804.406210402092</v>
      </c>
      <c r="DJ45" s="79">
        <v>1145740.9987328667</v>
      </c>
      <c r="DK45" s="84">
        <v>-45740.998732866719</v>
      </c>
      <c r="DL45" s="84">
        <v>26875.48</v>
      </c>
      <c r="DM45" s="84">
        <f t="shared" si="16"/>
        <v>1126875.48</v>
      </c>
      <c r="DN45" s="84">
        <f>'[7]FY20 Initial Budget Alloca FTE'!F45*DN$1</f>
        <v>0</v>
      </c>
      <c r="DO45" s="81">
        <f t="shared" si="0"/>
        <v>0</v>
      </c>
      <c r="DP45" s="81">
        <f t="shared" si="17"/>
        <v>0</v>
      </c>
      <c r="DQ45" s="74">
        <f t="shared" si="18"/>
        <v>0</v>
      </c>
      <c r="DR45" s="85"/>
      <c r="DS45" s="81">
        <f t="shared" si="19"/>
        <v>463812.99998981447</v>
      </c>
      <c r="DT45" s="81">
        <f t="shared" si="1"/>
        <v>600128.51908869389</v>
      </c>
      <c r="DU45" s="81">
        <f t="shared" si="2"/>
        <v>9919.4796543585762</v>
      </c>
      <c r="DV45" s="81">
        <f t="shared" si="34"/>
        <v>1000</v>
      </c>
      <c r="DW45" s="81">
        <f t="shared" si="29"/>
        <v>70880</v>
      </c>
      <c r="DX45" s="81">
        <f t="shared" si="30"/>
        <v>0</v>
      </c>
      <c r="DY45" s="81">
        <f t="shared" si="31"/>
        <v>0</v>
      </c>
      <c r="DZ45" s="81">
        <f t="shared" si="32"/>
        <v>0</v>
      </c>
      <c r="EA45" s="74">
        <f t="shared" si="8"/>
        <v>0</v>
      </c>
      <c r="EB45" s="81">
        <f t="shared" si="33"/>
        <v>0</v>
      </c>
      <c r="EC45" s="81">
        <f t="shared" si="33"/>
        <v>0</v>
      </c>
      <c r="ED45" s="86" t="s">
        <v>142</v>
      </c>
      <c r="EE45" s="81">
        <f t="shared" si="21"/>
        <v>0</v>
      </c>
      <c r="EF45" s="81">
        <f t="shared" si="22"/>
        <v>1145740.998732867</v>
      </c>
      <c r="EG45" s="81">
        <f t="shared" si="10"/>
        <v>0</v>
      </c>
      <c r="EH45" s="81">
        <v>1209353.8399999999</v>
      </c>
      <c r="EI45" s="84">
        <f t="shared" si="35"/>
        <v>1145740.9987328667</v>
      </c>
      <c r="EJ45" s="74">
        <f t="shared" si="12"/>
        <v>-63612.841267133132</v>
      </c>
      <c r="EK45" s="74">
        <f t="shared" si="13"/>
        <v>-63612.841267133132</v>
      </c>
      <c r="EM45" s="88">
        <f t="shared" si="14"/>
        <v>32</v>
      </c>
      <c r="EN45" s="74">
        <v>35</v>
      </c>
      <c r="EO45" s="74">
        <f t="shared" si="15"/>
        <v>-3</v>
      </c>
      <c r="EP45" s="72">
        <v>32</v>
      </c>
      <c r="EQ45" s="74">
        <f t="shared" si="23"/>
        <v>-3</v>
      </c>
      <c r="ER45" s="72" t="e">
        <v>#N/A</v>
      </c>
      <c r="ES45" s="74" t="e">
        <f t="shared" si="24"/>
        <v>#N/A</v>
      </c>
      <c r="ET45" s="74"/>
      <c r="EU45" s="74"/>
      <c r="EV45" s="74"/>
      <c r="EW45" s="89"/>
      <c r="EX45" s="81">
        <f t="shared" si="26"/>
        <v>1026587.736180363</v>
      </c>
      <c r="EY45" s="81">
        <f t="shared" si="27"/>
        <v>99153.262552503846</v>
      </c>
    </row>
    <row r="46" spans="1:155" x14ac:dyDescent="0.25">
      <c r="A46" s="76">
        <v>339</v>
      </c>
      <c r="B46" s="76" t="s">
        <v>185</v>
      </c>
      <c r="C46" s="77" t="s">
        <v>135</v>
      </c>
      <c r="D46" s="41">
        <v>6</v>
      </c>
      <c r="E46" s="78">
        <v>469</v>
      </c>
      <c r="F46" s="78">
        <v>232.96062992125985</v>
      </c>
      <c r="G46" s="79">
        <v>173177.12015668923</v>
      </c>
      <c r="H46" s="79">
        <v>109114.27619794433</v>
      </c>
      <c r="I46" s="79">
        <v>168474.26418802707</v>
      </c>
      <c r="J46" s="79">
        <v>0</v>
      </c>
      <c r="K46" s="79">
        <v>0</v>
      </c>
      <c r="L46" s="79">
        <v>81577.320156689224</v>
      </c>
      <c r="M46" s="79">
        <v>59319.676384927567</v>
      </c>
      <c r="N46" s="79">
        <v>53562.391661913083</v>
      </c>
      <c r="O46" s="79">
        <v>0</v>
      </c>
      <c r="P46" s="79">
        <v>0</v>
      </c>
      <c r="Q46" s="79"/>
      <c r="R46" s="79">
        <v>69375.836746740591</v>
      </c>
      <c r="S46" s="79">
        <v>54629.386746740587</v>
      </c>
      <c r="T46" s="79">
        <v>97917.473493481171</v>
      </c>
      <c r="U46" s="79">
        <v>109114.27619794433</v>
      </c>
      <c r="V46" s="79">
        <v>109114.27619794433</v>
      </c>
      <c r="W46" s="79">
        <v>109114.27619794433</v>
      </c>
      <c r="X46" s="79">
        <v>109114.27619794433</v>
      </c>
      <c r="Y46" s="79">
        <v>163671.41429691651</v>
      </c>
      <c r="Z46" s="79"/>
      <c r="AA46" s="79">
        <v>327342.82859383302</v>
      </c>
      <c r="AB46" s="79">
        <v>103207.87915478271</v>
      </c>
      <c r="AC46" s="79">
        <v>109114.27619794433</v>
      </c>
      <c r="AD46" s="79">
        <v>68805.252769855142</v>
      </c>
      <c r="AE46" s="79">
        <v>327342.82859383302</v>
      </c>
      <c r="AF46" s="79">
        <v>103207.87915478271</v>
      </c>
      <c r="AG46" s="79">
        <v>436457.10479177732</v>
      </c>
      <c r="AH46" s="79">
        <v>137610.50553971028</v>
      </c>
      <c r="AI46" s="79">
        <v>327342.82859383302</v>
      </c>
      <c r="AJ46" s="79">
        <v>327342.82859383302</v>
      </c>
      <c r="AK46" s="79">
        <v>327342.82859383302</v>
      </c>
      <c r="AL46" s="79">
        <v>327342.82859383302</v>
      </c>
      <c r="AM46" s="79">
        <v>327342.82859383302</v>
      </c>
      <c r="AN46" s="79">
        <v>0</v>
      </c>
      <c r="AO46" s="79">
        <v>0</v>
      </c>
      <c r="AP46" s="79">
        <v>0</v>
      </c>
      <c r="AQ46" s="79">
        <v>0</v>
      </c>
      <c r="AR46" s="79">
        <v>0</v>
      </c>
      <c r="AS46" s="79">
        <v>0</v>
      </c>
      <c r="AT46" s="79">
        <v>0</v>
      </c>
      <c r="AU46" s="79">
        <v>0</v>
      </c>
      <c r="AV46" s="79"/>
      <c r="AW46" s="79">
        <v>0</v>
      </c>
      <c r="AX46" s="79">
        <v>109114.27619794433</v>
      </c>
      <c r="AY46" s="79">
        <v>218228.55239588866</v>
      </c>
      <c r="AZ46" s="79">
        <v>872914.20958355465</v>
      </c>
      <c r="BA46" s="79">
        <v>103207.87915478271</v>
      </c>
      <c r="BB46" s="79">
        <v>0</v>
      </c>
      <c r="BC46" s="79">
        <v>0</v>
      </c>
      <c r="BD46" s="79">
        <v>109114.27619794433</v>
      </c>
      <c r="BE46" s="79">
        <v>0</v>
      </c>
      <c r="BF46" s="79">
        <v>0</v>
      </c>
      <c r="BG46" s="79">
        <f>29930-BL46</f>
        <v>6735.7999999999993</v>
      </c>
      <c r="BH46" s="79">
        <v>28060</v>
      </c>
      <c r="BI46" s="79">
        <v>0</v>
      </c>
      <c r="BJ46" s="79"/>
      <c r="BK46" s="79">
        <v>0</v>
      </c>
      <c r="BL46" s="79">
        <v>23194.2</v>
      </c>
      <c r="BM46" s="79">
        <v>241973.07</v>
      </c>
      <c r="BN46" s="79">
        <v>3850.42</v>
      </c>
      <c r="BO46" s="79">
        <v>0</v>
      </c>
      <c r="BP46" s="79">
        <v>0</v>
      </c>
      <c r="BQ46" s="79">
        <v>0</v>
      </c>
      <c r="BR46" s="79">
        <v>0</v>
      </c>
      <c r="BS46" s="79">
        <v>109114.27619794433</v>
      </c>
      <c r="BT46" s="79">
        <v>0</v>
      </c>
      <c r="BU46" s="79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80">
        <v>0</v>
      </c>
      <c r="CC46" s="80">
        <v>0</v>
      </c>
      <c r="CD46" s="79">
        <v>0</v>
      </c>
      <c r="CE46" s="79">
        <v>0</v>
      </c>
      <c r="CF46" s="79">
        <v>0</v>
      </c>
      <c r="CG46" s="79">
        <v>0</v>
      </c>
      <c r="CH46" s="79">
        <v>0</v>
      </c>
      <c r="CI46" s="79">
        <v>0</v>
      </c>
      <c r="CJ46" s="79">
        <v>0</v>
      </c>
      <c r="CK46" s="79">
        <v>0</v>
      </c>
      <c r="CL46" s="79">
        <v>0</v>
      </c>
      <c r="CM46" s="79">
        <v>108165.6</v>
      </c>
      <c r="CN46" s="79">
        <v>0</v>
      </c>
      <c r="CO46" s="79">
        <v>0</v>
      </c>
      <c r="CP46" s="79">
        <v>0</v>
      </c>
      <c r="CQ46" s="79">
        <v>4659.212598425197</v>
      </c>
      <c r="CR46" s="79">
        <v>0</v>
      </c>
      <c r="CS46" s="79">
        <v>26751.177083333332</v>
      </c>
      <c r="CT46" s="79"/>
      <c r="CU46" s="79">
        <v>0</v>
      </c>
      <c r="CV46" s="79"/>
      <c r="CW46" s="79">
        <v>0</v>
      </c>
      <c r="CX46" s="79">
        <v>0</v>
      </c>
      <c r="CY46" s="79">
        <v>0</v>
      </c>
      <c r="CZ46" s="79">
        <v>0</v>
      </c>
      <c r="DA46" s="79">
        <v>46900</v>
      </c>
      <c r="DB46" s="79">
        <v>100444.236160281</v>
      </c>
      <c r="DC46" s="82">
        <v>0</v>
      </c>
      <c r="DD46" s="79">
        <v>0</v>
      </c>
      <c r="DE46" s="79"/>
      <c r="DF46" s="79">
        <v>17000</v>
      </c>
      <c r="DG46" s="79">
        <v>0</v>
      </c>
      <c r="DH46" s="83">
        <v>0</v>
      </c>
      <c r="DI46" s="79">
        <v>14598.09413253226</v>
      </c>
      <c r="DJ46" s="79">
        <v>6846506.1481576301</v>
      </c>
      <c r="DK46" s="84">
        <v>1.8423702567815781E-3</v>
      </c>
      <c r="DL46" s="84">
        <v>0</v>
      </c>
      <c r="DM46" s="84">
        <f t="shared" si="16"/>
        <v>6846506.1500000004</v>
      </c>
      <c r="DN46" s="84">
        <f>'[7]FY20 Initial Budget Alloca FTE'!F46*DN$1</f>
        <v>511548.92881889769</v>
      </c>
      <c r="DO46" s="81">
        <f t="shared" si="0"/>
        <v>34795.800000000003</v>
      </c>
      <c r="DP46" s="81">
        <f t="shared" si="17"/>
        <v>130773.48879636952</v>
      </c>
      <c r="DQ46" s="74">
        <f t="shared" si="18"/>
        <v>345979.64002252818</v>
      </c>
      <c r="DR46" s="85">
        <f t="shared" ref="DR46:DR61" si="36">DQ46/DN46</f>
        <v>0.67633733653074357</v>
      </c>
      <c r="DS46" s="81">
        <f t="shared" si="19"/>
        <v>4545194.7358086165</v>
      </c>
      <c r="DT46" s="81">
        <f t="shared" si="1"/>
        <v>1303464.9173321705</v>
      </c>
      <c r="DU46" s="81">
        <f t="shared" si="2"/>
        <v>109114.27619794433</v>
      </c>
      <c r="DV46" s="81">
        <f t="shared" si="34"/>
        <v>269017.69</v>
      </c>
      <c r="DW46" s="81">
        <f t="shared" si="29"/>
        <v>0</v>
      </c>
      <c r="DX46" s="81">
        <f t="shared" si="30"/>
        <v>0</v>
      </c>
      <c r="DY46" s="81">
        <f t="shared" si="31"/>
        <v>0</v>
      </c>
      <c r="DZ46" s="81">
        <f t="shared" si="32"/>
        <v>108165.6</v>
      </c>
      <c r="EA46" s="74">
        <f t="shared" si="8"/>
        <v>345979.64002252818</v>
      </c>
      <c r="EB46" s="81">
        <f t="shared" si="33"/>
        <v>34795.800000000003</v>
      </c>
      <c r="EC46" s="81">
        <f t="shared" si="33"/>
        <v>130773.48879636952</v>
      </c>
      <c r="ED46" s="86">
        <f t="shared" si="20"/>
        <v>0.67633733653074357</v>
      </c>
      <c r="EE46" s="81">
        <f t="shared" si="21"/>
        <v>511548.92881889769</v>
      </c>
      <c r="EF46" s="81">
        <f t="shared" si="22"/>
        <v>6846506.1481576292</v>
      </c>
      <c r="EG46" s="81">
        <f t="shared" si="10"/>
        <v>0</v>
      </c>
      <c r="EH46" s="81">
        <v>6682028.2957798271</v>
      </c>
      <c r="EI46" s="84">
        <f t="shared" si="35"/>
        <v>6738340.5481576305</v>
      </c>
      <c r="EJ46" s="74">
        <f t="shared" si="12"/>
        <v>164477.85237780306</v>
      </c>
      <c r="EK46" s="74">
        <f t="shared" si="13"/>
        <v>56312.252377803437</v>
      </c>
      <c r="EM46" s="88">
        <f t="shared" si="14"/>
        <v>469</v>
      </c>
      <c r="EN46" s="74">
        <v>516</v>
      </c>
      <c r="EO46" s="74">
        <f t="shared" si="15"/>
        <v>-47</v>
      </c>
      <c r="EP46" s="90">
        <v>477</v>
      </c>
      <c r="EQ46" s="74">
        <f t="shared" si="23"/>
        <v>-39</v>
      </c>
      <c r="ER46" s="72">
        <v>553</v>
      </c>
      <c r="ES46" s="74">
        <f t="shared" si="24"/>
        <v>-84</v>
      </c>
      <c r="ET46" s="74"/>
      <c r="EU46" s="74"/>
      <c r="EV46" s="74"/>
      <c r="EW46" s="89"/>
      <c r="EX46" s="81">
        <f t="shared" si="26"/>
        <v>6273568.2323155906</v>
      </c>
      <c r="EY46" s="81">
        <f t="shared" si="27"/>
        <v>572937.91584203951</v>
      </c>
    </row>
    <row r="47" spans="1:155" x14ac:dyDescent="0.25">
      <c r="A47" s="76">
        <v>254</v>
      </c>
      <c r="B47" s="76" t="s">
        <v>186</v>
      </c>
      <c r="C47" s="77" t="s">
        <v>135</v>
      </c>
      <c r="D47" s="41">
        <v>3</v>
      </c>
      <c r="E47" s="78">
        <v>743</v>
      </c>
      <c r="F47" s="78">
        <v>21.35027472527473</v>
      </c>
      <c r="G47" s="79">
        <v>173177.12015668923</v>
      </c>
      <c r="H47" s="79">
        <v>109114.27619794433</v>
      </c>
      <c r="I47" s="79">
        <v>266750.91829770955</v>
      </c>
      <c r="J47" s="79">
        <v>0</v>
      </c>
      <c r="K47" s="79">
        <v>0</v>
      </c>
      <c r="L47" s="79">
        <v>81577.320156689224</v>
      </c>
      <c r="M47" s="79">
        <v>59319.676384927567</v>
      </c>
      <c r="N47" s="79">
        <v>84807.120131362375</v>
      </c>
      <c r="O47" s="79">
        <v>0</v>
      </c>
      <c r="P47" s="79">
        <v>0</v>
      </c>
      <c r="Q47" s="79"/>
      <c r="R47" s="79">
        <v>69375.836746740591</v>
      </c>
      <c r="S47" s="79">
        <v>54629.386746740587</v>
      </c>
      <c r="T47" s="79">
        <v>146876.21024022176</v>
      </c>
      <c r="U47" s="79">
        <v>109114.27619794433</v>
      </c>
      <c r="V47" s="79">
        <v>109114.27619794433</v>
      </c>
      <c r="W47" s="79">
        <v>109114.27619794433</v>
      </c>
      <c r="X47" s="79">
        <v>109114.27619794433</v>
      </c>
      <c r="Y47" s="79">
        <f>381899.966692805-Z47</f>
        <v>272785.69049486064</v>
      </c>
      <c r="Z47" s="79">
        <f>1*Z$121</f>
        <v>109114.27619794433</v>
      </c>
      <c r="AA47" s="79">
        <v>0</v>
      </c>
      <c r="AB47" s="79">
        <v>0</v>
      </c>
      <c r="AC47" s="79">
        <v>0</v>
      </c>
      <c r="AD47" s="79">
        <v>0</v>
      </c>
      <c r="AE47" s="79">
        <v>327342.82859383302</v>
      </c>
      <c r="AF47" s="79">
        <v>103207.87915478271</v>
      </c>
      <c r="AG47" s="79">
        <v>436457.10479177732</v>
      </c>
      <c r="AH47" s="79">
        <v>137610.50553971028</v>
      </c>
      <c r="AI47" s="79">
        <v>545571.38098972163</v>
      </c>
      <c r="AJ47" s="79">
        <v>654685.65718766605</v>
      </c>
      <c r="AK47" s="79">
        <v>545571.38098972163</v>
      </c>
      <c r="AL47" s="79">
        <v>545571.38098972163</v>
      </c>
      <c r="AM47" s="79">
        <v>545571.38098972163</v>
      </c>
      <c r="AN47" s="79">
        <v>0</v>
      </c>
      <c r="AO47" s="79">
        <v>0</v>
      </c>
      <c r="AP47" s="79">
        <v>0</v>
      </c>
      <c r="AQ47" s="79">
        <v>0</v>
      </c>
      <c r="AR47" s="79">
        <v>0</v>
      </c>
      <c r="AS47" s="79">
        <v>0</v>
      </c>
      <c r="AT47" s="79">
        <v>0</v>
      </c>
      <c r="AU47" s="79">
        <v>0</v>
      </c>
      <c r="AV47" s="79"/>
      <c r="AW47" s="79">
        <v>0</v>
      </c>
      <c r="AX47" s="79">
        <v>54557.138098972166</v>
      </c>
      <c r="AY47" s="79">
        <v>109114.27619794433</v>
      </c>
      <c r="AZ47" s="79">
        <v>545571.38098972163</v>
      </c>
      <c r="BA47" s="79">
        <v>0</v>
      </c>
      <c r="BB47" s="79">
        <v>0</v>
      </c>
      <c r="BC47" s="79">
        <v>0</v>
      </c>
      <c r="BD47" s="79">
        <v>109114.27619794433</v>
      </c>
      <c r="BE47" s="79">
        <v>0</v>
      </c>
      <c r="BF47" s="79">
        <v>0</v>
      </c>
      <c r="BG47" s="79">
        <v>0</v>
      </c>
      <c r="BH47" s="79">
        <v>0</v>
      </c>
      <c r="BI47" s="79">
        <v>0</v>
      </c>
      <c r="BJ47" s="79"/>
      <c r="BK47" s="79">
        <v>0</v>
      </c>
      <c r="BL47" s="79"/>
      <c r="BM47" s="79">
        <v>0</v>
      </c>
      <c r="BN47" s="79">
        <v>0</v>
      </c>
      <c r="BO47" s="79">
        <v>18400</v>
      </c>
      <c r="BP47" s="79">
        <v>0</v>
      </c>
      <c r="BQ47" s="79">
        <v>0</v>
      </c>
      <c r="BR47" s="79">
        <v>0</v>
      </c>
      <c r="BS47" s="79">
        <v>0</v>
      </c>
      <c r="BT47" s="79">
        <v>0</v>
      </c>
      <c r="BU47" s="79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80">
        <v>0</v>
      </c>
      <c r="CC47" s="80">
        <v>0</v>
      </c>
      <c r="CD47" s="79">
        <v>0</v>
      </c>
      <c r="CE47" s="79">
        <v>0</v>
      </c>
      <c r="CF47" s="79">
        <v>0</v>
      </c>
      <c r="CG47" s="79">
        <v>0</v>
      </c>
      <c r="CH47" s="79">
        <v>0</v>
      </c>
      <c r="CI47" s="79">
        <v>0</v>
      </c>
      <c r="CJ47" s="79">
        <v>0</v>
      </c>
      <c r="CK47" s="79">
        <v>0</v>
      </c>
      <c r="CL47" s="79">
        <v>0</v>
      </c>
      <c r="CM47" s="79">
        <v>108165.6</v>
      </c>
      <c r="CN47" s="79">
        <v>0</v>
      </c>
      <c r="CO47" s="79">
        <v>0</v>
      </c>
      <c r="CP47" s="79">
        <v>0</v>
      </c>
      <c r="CQ47" s="79">
        <v>0</v>
      </c>
      <c r="CR47" s="79">
        <v>0</v>
      </c>
      <c r="CS47" s="79">
        <v>37769.728571428568</v>
      </c>
      <c r="CT47" s="79"/>
      <c r="CU47" s="79">
        <v>0</v>
      </c>
      <c r="CV47" s="79"/>
      <c r="CW47" s="79">
        <v>0</v>
      </c>
      <c r="CX47" s="79">
        <v>0</v>
      </c>
      <c r="CY47" s="79">
        <v>0</v>
      </c>
      <c r="CZ47" s="79">
        <v>0</v>
      </c>
      <c r="DA47" s="79">
        <v>74300</v>
      </c>
      <c r="DB47" s="79">
        <v>105035.29726680301</v>
      </c>
      <c r="DC47" s="82">
        <v>859597.86690692324</v>
      </c>
      <c r="DD47" s="79">
        <v>0</v>
      </c>
      <c r="DE47" s="79"/>
      <c r="DF47" s="79">
        <v>3000</v>
      </c>
      <c r="DG47" s="79">
        <v>0</v>
      </c>
      <c r="DH47" s="83">
        <v>0</v>
      </c>
      <c r="DI47" s="79">
        <v>10404.037685060564</v>
      </c>
      <c r="DJ47" s="79">
        <v>7730200.0000000019</v>
      </c>
      <c r="DK47" s="84">
        <v>0</v>
      </c>
      <c r="DL47" s="84">
        <v>0</v>
      </c>
      <c r="DM47" s="84">
        <f t="shared" si="16"/>
        <v>7730200.0000000019</v>
      </c>
      <c r="DN47" s="84">
        <f>'[7]FY20 Initial Budget Alloca FTE'!F47*DN$1</f>
        <v>46882.214258241773</v>
      </c>
      <c r="DO47" s="81">
        <f t="shared" si="0"/>
        <v>0</v>
      </c>
      <c r="DP47" s="81">
        <f t="shared" si="17"/>
        <v>112114.27619794433</v>
      </c>
      <c r="DQ47" s="74">
        <f t="shared" si="18"/>
        <v>-65232.061939702558</v>
      </c>
      <c r="DR47" s="85">
        <f t="shared" si="36"/>
        <v>-1.391403178620876</v>
      </c>
      <c r="DS47" s="81">
        <f t="shared" si="19"/>
        <v>5878797.2473502532</v>
      </c>
      <c r="DT47" s="81">
        <f t="shared" si="1"/>
        <v>709242.7952866382</v>
      </c>
      <c r="DU47" s="81">
        <f t="shared" si="2"/>
        <v>109114.27619794433</v>
      </c>
      <c r="DV47" s="81">
        <f t="shared" si="34"/>
        <v>18400</v>
      </c>
      <c r="DW47" s="81">
        <f t="shared" si="29"/>
        <v>0</v>
      </c>
      <c r="DX47" s="81">
        <f t="shared" si="30"/>
        <v>859597.86690692324</v>
      </c>
      <c r="DY47" s="81">
        <f t="shared" si="31"/>
        <v>0</v>
      </c>
      <c r="DZ47" s="81">
        <f t="shared" si="32"/>
        <v>108165.6</v>
      </c>
      <c r="EA47" s="74">
        <f t="shared" si="8"/>
        <v>-65232.061939702558</v>
      </c>
      <c r="EB47" s="81">
        <f t="shared" si="33"/>
        <v>0</v>
      </c>
      <c r="EC47" s="81">
        <f t="shared" si="33"/>
        <v>112114.27619794433</v>
      </c>
      <c r="ED47" s="86">
        <v>0</v>
      </c>
      <c r="EE47" s="81">
        <f t="shared" si="21"/>
        <v>46882.214258241773</v>
      </c>
      <c r="EF47" s="81">
        <f t="shared" si="22"/>
        <v>7730200.0000000019</v>
      </c>
      <c r="EG47" s="81">
        <f t="shared" si="10"/>
        <v>0</v>
      </c>
      <c r="EH47" s="81">
        <v>7082003</v>
      </c>
      <c r="EI47" s="84">
        <f t="shared" si="35"/>
        <v>7622034.4000000022</v>
      </c>
      <c r="EJ47" s="74">
        <f t="shared" si="12"/>
        <v>648197.00000000186</v>
      </c>
      <c r="EK47" s="74">
        <f t="shared" si="13"/>
        <v>540031.40000000224</v>
      </c>
      <c r="EM47" s="88">
        <f t="shared" si="14"/>
        <v>743</v>
      </c>
      <c r="EN47" s="74">
        <v>735</v>
      </c>
      <c r="EO47" s="74">
        <f t="shared" si="15"/>
        <v>8</v>
      </c>
      <c r="EP47" s="72">
        <v>739</v>
      </c>
      <c r="EQ47" s="74">
        <f t="shared" si="23"/>
        <v>4</v>
      </c>
      <c r="ER47" s="72">
        <v>717</v>
      </c>
      <c r="ES47" s="74">
        <f t="shared" si="24"/>
        <v>26</v>
      </c>
      <c r="ET47" s="74"/>
      <c r="EU47" s="74"/>
      <c r="EV47" s="74"/>
      <c r="EW47" s="89"/>
      <c r="EX47" s="81">
        <f t="shared" si="26"/>
        <v>6523931.5072548473</v>
      </c>
      <c r="EY47" s="81">
        <f t="shared" si="27"/>
        <v>1206268.4927451548</v>
      </c>
    </row>
    <row r="48" spans="1:155" ht="31.5" x14ac:dyDescent="0.25">
      <c r="A48" s="76">
        <v>433</v>
      </c>
      <c r="B48" s="76" t="s">
        <v>187</v>
      </c>
      <c r="C48" s="77" t="s">
        <v>152</v>
      </c>
      <c r="D48" s="41">
        <v>6</v>
      </c>
      <c r="E48" s="78">
        <v>349</v>
      </c>
      <c r="F48" s="78">
        <v>223.53225806451613</v>
      </c>
      <c r="G48" s="79">
        <v>173177.12015668923</v>
      </c>
      <c r="H48" s="79">
        <v>109114.27619794433</v>
      </c>
      <c r="I48" s="79">
        <v>168474.26418802707</v>
      </c>
      <c r="J48" s="79">
        <v>109114.27619794433</v>
      </c>
      <c r="K48" s="79">
        <v>0</v>
      </c>
      <c r="L48" s="79">
        <v>81577.320156689224</v>
      </c>
      <c r="M48" s="79">
        <v>59319.676384927567</v>
      </c>
      <c r="N48" s="79">
        <v>0</v>
      </c>
      <c r="O48" s="79">
        <v>0</v>
      </c>
      <c r="P48" s="79">
        <v>0</v>
      </c>
      <c r="Q48" s="79"/>
      <c r="R48" s="79">
        <v>69375.836746740591</v>
      </c>
      <c r="S48" s="79">
        <v>54629.386746740587</v>
      </c>
      <c r="T48" s="79">
        <v>146876.21024022176</v>
      </c>
      <c r="U48" s="79">
        <v>109114.27619794433</v>
      </c>
      <c r="V48" s="79">
        <v>0</v>
      </c>
      <c r="W48" s="79">
        <v>0</v>
      </c>
      <c r="X48" s="79">
        <v>0</v>
      </c>
      <c r="Y48" s="79">
        <v>0</v>
      </c>
      <c r="Z48" s="79"/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79">
        <v>0</v>
      </c>
      <c r="AM48" s="79">
        <v>0</v>
      </c>
      <c r="AN48" s="79">
        <v>654685.65718766605</v>
      </c>
      <c r="AO48" s="79">
        <v>589217.09146889939</v>
      </c>
      <c r="AP48" s="79">
        <v>491014.24289074948</v>
      </c>
      <c r="AQ48" s="79">
        <v>0</v>
      </c>
      <c r="AR48" s="79">
        <v>0</v>
      </c>
      <c r="AS48" s="79">
        <v>0</v>
      </c>
      <c r="AT48" s="79">
        <v>0</v>
      </c>
      <c r="AU48" s="79">
        <v>0</v>
      </c>
      <c r="AV48" s="79"/>
      <c r="AW48" s="79">
        <v>0</v>
      </c>
      <c r="AX48" s="79">
        <v>109114.27619794433</v>
      </c>
      <c r="AY48" s="79">
        <v>218228.55239588866</v>
      </c>
      <c r="AZ48" s="79">
        <v>872914.20958355465</v>
      </c>
      <c r="BA48" s="79">
        <v>103207.87915478271</v>
      </c>
      <c r="BB48" s="79">
        <v>0</v>
      </c>
      <c r="BC48" s="79">
        <v>0</v>
      </c>
      <c r="BD48" s="79">
        <v>14879.219481537863</v>
      </c>
      <c r="BE48" s="79">
        <v>0</v>
      </c>
      <c r="BF48" s="79">
        <v>0</v>
      </c>
      <c r="BG48" s="79">
        <f>11972-BL48</f>
        <v>374.89999999999964</v>
      </c>
      <c r="BH48" s="79">
        <v>11224</v>
      </c>
      <c r="BI48" s="79">
        <v>6734</v>
      </c>
      <c r="BJ48" s="79"/>
      <c r="BK48" s="79">
        <v>0</v>
      </c>
      <c r="BL48" s="79">
        <v>11597.1</v>
      </c>
      <c r="BM48" s="79">
        <v>148321.41</v>
      </c>
      <c r="BN48" s="79">
        <v>2360.1799999999998</v>
      </c>
      <c r="BO48" s="79">
        <v>0</v>
      </c>
      <c r="BP48" s="79">
        <v>0</v>
      </c>
      <c r="BQ48" s="79">
        <v>0</v>
      </c>
      <c r="BR48" s="79">
        <v>140395.22015668923</v>
      </c>
      <c r="BS48" s="79">
        <v>0</v>
      </c>
      <c r="BT48" s="79">
        <v>0</v>
      </c>
      <c r="BU48" s="79">
        <v>0</v>
      </c>
      <c r="BV48" s="80">
        <v>0</v>
      </c>
      <c r="BW48" s="80">
        <v>0</v>
      </c>
      <c r="BX48" s="80">
        <v>0</v>
      </c>
      <c r="BY48" s="80">
        <v>0</v>
      </c>
      <c r="BZ48" s="80">
        <v>0</v>
      </c>
      <c r="CA48" s="80">
        <v>0</v>
      </c>
      <c r="CB48" s="80">
        <v>0</v>
      </c>
      <c r="CC48" s="80">
        <v>0</v>
      </c>
      <c r="CD48" s="79">
        <v>0</v>
      </c>
      <c r="CE48" s="79">
        <v>0</v>
      </c>
      <c r="CF48" s="79">
        <v>0</v>
      </c>
      <c r="CG48" s="79">
        <v>0</v>
      </c>
      <c r="CH48" s="79">
        <v>0</v>
      </c>
      <c r="CI48" s="79">
        <v>218228.55239588866</v>
      </c>
      <c r="CJ48" s="79">
        <v>0</v>
      </c>
      <c r="CK48" s="79">
        <v>23000</v>
      </c>
      <c r="CL48" s="79">
        <v>5000</v>
      </c>
      <c r="CM48" s="79">
        <v>295048.09999999998</v>
      </c>
      <c r="CN48" s="79">
        <v>100000</v>
      </c>
      <c r="CO48" s="79">
        <v>0</v>
      </c>
      <c r="CP48" s="79">
        <v>0</v>
      </c>
      <c r="CQ48" s="79">
        <v>4470.6451612903229</v>
      </c>
      <c r="CR48" s="79">
        <v>0</v>
      </c>
      <c r="CS48" s="79">
        <v>28279.446341463416</v>
      </c>
      <c r="CT48" s="79"/>
      <c r="CU48" s="79">
        <v>0</v>
      </c>
      <c r="CV48" s="79"/>
      <c r="CW48" s="79">
        <v>0</v>
      </c>
      <c r="CX48" s="79">
        <v>0</v>
      </c>
      <c r="CY48" s="79">
        <v>0</v>
      </c>
      <c r="CZ48" s="79">
        <v>0</v>
      </c>
      <c r="DA48" s="79">
        <v>34900</v>
      </c>
      <c r="DB48" s="79">
        <v>73941.786460452277</v>
      </c>
      <c r="DC48" s="82">
        <v>0</v>
      </c>
      <c r="DD48" s="79">
        <v>0</v>
      </c>
      <c r="DE48" s="79"/>
      <c r="DF48" s="79">
        <v>34200</v>
      </c>
      <c r="DG48" s="79">
        <v>0</v>
      </c>
      <c r="DH48" s="83">
        <v>0</v>
      </c>
      <c r="DI48" s="79">
        <v>15106.329834070708</v>
      </c>
      <c r="DJ48" s="79">
        <v>5272109.1120906761</v>
      </c>
      <c r="DK48" s="84">
        <v>127890.88790932391</v>
      </c>
      <c r="DL48" s="84">
        <v>0</v>
      </c>
      <c r="DM48" s="84">
        <f t="shared" si="16"/>
        <v>5400000</v>
      </c>
      <c r="DN48" s="84">
        <f>'[7]FY20 Initial Budget Alloca FTE'!F48*DN$1</f>
        <v>490845.54419354844</v>
      </c>
      <c r="DO48" s="81">
        <f t="shared" si="0"/>
        <v>18332.900000000001</v>
      </c>
      <c r="DP48" s="81">
        <f t="shared" si="17"/>
        <v>179065.86531797957</v>
      </c>
      <c r="DQ48" s="74">
        <f t="shared" si="18"/>
        <v>293446.77887556888</v>
      </c>
      <c r="DR48" s="85">
        <f t="shared" si="36"/>
        <v>0.59783934548636342</v>
      </c>
      <c r="DS48" s="81">
        <f t="shared" si="19"/>
        <v>3005592.6410834193</v>
      </c>
      <c r="DT48" s="81">
        <f t="shared" si="1"/>
        <v>1303464.9173321705</v>
      </c>
      <c r="DU48" s="81">
        <f t="shared" si="2"/>
        <v>14879.219481537863</v>
      </c>
      <c r="DV48" s="81">
        <f t="shared" si="34"/>
        <v>162278.69</v>
      </c>
      <c r="DW48" s="81">
        <f t="shared" si="29"/>
        <v>0</v>
      </c>
      <c r="DX48" s="81">
        <f t="shared" si="30"/>
        <v>0</v>
      </c>
      <c r="DY48" s="81">
        <f t="shared" si="31"/>
        <v>0</v>
      </c>
      <c r="DZ48" s="81">
        <f t="shared" si="32"/>
        <v>295048.09999999998</v>
      </c>
      <c r="EA48" s="74">
        <f t="shared" si="8"/>
        <v>293446.77887556888</v>
      </c>
      <c r="EB48" s="81">
        <f t="shared" si="33"/>
        <v>18332.900000000001</v>
      </c>
      <c r="EC48" s="81">
        <f t="shared" si="33"/>
        <v>179065.86531797957</v>
      </c>
      <c r="ED48" s="86">
        <f t="shared" si="20"/>
        <v>0.59783934548636342</v>
      </c>
      <c r="EE48" s="81">
        <f t="shared" si="21"/>
        <v>490845.5441935485</v>
      </c>
      <c r="EF48" s="81">
        <f t="shared" si="22"/>
        <v>5272109.112090677</v>
      </c>
      <c r="EG48" s="81">
        <f t="shared" si="10"/>
        <v>0</v>
      </c>
      <c r="EH48" s="81">
        <v>4805013.5357536497</v>
      </c>
      <c r="EI48" s="84">
        <f t="shared" si="35"/>
        <v>4977061.0120906765</v>
      </c>
      <c r="EJ48" s="74">
        <f t="shared" si="12"/>
        <v>467095.57633702643</v>
      </c>
      <c r="EK48" s="74">
        <f t="shared" si="13"/>
        <v>172047.4763370268</v>
      </c>
      <c r="EM48" s="88">
        <f t="shared" si="14"/>
        <v>349</v>
      </c>
      <c r="EN48" s="74">
        <v>328</v>
      </c>
      <c r="EO48" s="74">
        <f t="shared" si="15"/>
        <v>21</v>
      </c>
      <c r="EP48" s="72">
        <v>341</v>
      </c>
      <c r="EQ48" s="74">
        <f t="shared" si="23"/>
        <v>13</v>
      </c>
      <c r="ER48" s="72">
        <v>443</v>
      </c>
      <c r="ES48" s="74">
        <f t="shared" si="24"/>
        <v>-94</v>
      </c>
      <c r="ET48" s="74"/>
      <c r="EU48" s="74"/>
      <c r="EV48" s="74"/>
      <c r="EW48" s="89"/>
      <c r="EX48" s="81">
        <f t="shared" si="26"/>
        <v>4510990.4441274703</v>
      </c>
      <c r="EY48" s="81">
        <f t="shared" si="27"/>
        <v>761118.66796320595</v>
      </c>
    </row>
    <row r="49" spans="1:155" x14ac:dyDescent="0.25">
      <c r="A49" s="76">
        <v>416</v>
      </c>
      <c r="B49" s="76" t="s">
        <v>188</v>
      </c>
      <c r="C49" s="77" t="s">
        <v>152</v>
      </c>
      <c r="D49" s="41">
        <v>8</v>
      </c>
      <c r="E49" s="78">
        <v>295</v>
      </c>
      <c r="F49" s="78">
        <v>268.6502057613169</v>
      </c>
      <c r="G49" s="79">
        <v>173177.12015668923</v>
      </c>
      <c r="H49" s="79">
        <v>109114.27619794433</v>
      </c>
      <c r="I49" s="79">
        <v>140395.22015668923</v>
      </c>
      <c r="J49" s="79">
        <v>109114.27619794433</v>
      </c>
      <c r="K49" s="79">
        <v>0</v>
      </c>
      <c r="L49" s="79">
        <v>40788.660078344612</v>
      </c>
      <c r="M49" s="79">
        <v>59319.676384927567</v>
      </c>
      <c r="N49" s="79">
        <v>0</v>
      </c>
      <c r="O49" s="79">
        <v>0</v>
      </c>
      <c r="P49" s="79">
        <f>62573.5867467406-Q49</f>
        <v>0</v>
      </c>
      <c r="Q49" s="79">
        <v>62573.586746740584</v>
      </c>
      <c r="R49" s="79">
        <v>69375.836746740591</v>
      </c>
      <c r="S49" s="79">
        <v>54629.386746740587</v>
      </c>
      <c r="T49" s="79">
        <v>146876.21024022176</v>
      </c>
      <c r="U49" s="79">
        <v>54557.138098972166</v>
      </c>
      <c r="V49" s="79">
        <v>0</v>
      </c>
      <c r="W49" s="79">
        <v>0</v>
      </c>
      <c r="X49" s="79">
        <v>0</v>
      </c>
      <c r="Y49" s="79">
        <v>0</v>
      </c>
      <c r="Z49" s="79"/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79">
        <v>0</v>
      </c>
      <c r="AM49" s="79">
        <v>0</v>
      </c>
      <c r="AN49" s="79">
        <v>491014.24289074948</v>
      </c>
      <c r="AO49" s="79">
        <v>491014.24289074948</v>
      </c>
      <c r="AP49" s="79">
        <v>469191.38765116059</v>
      </c>
      <c r="AQ49" s="79">
        <v>0</v>
      </c>
      <c r="AR49" s="79">
        <v>0</v>
      </c>
      <c r="AS49" s="79">
        <v>0</v>
      </c>
      <c r="AT49" s="79">
        <v>0</v>
      </c>
      <c r="AU49" s="79">
        <v>0</v>
      </c>
      <c r="AV49" s="79"/>
      <c r="AW49" s="79">
        <v>0</v>
      </c>
      <c r="AX49" s="79">
        <v>109114.27619794433</v>
      </c>
      <c r="AY49" s="79">
        <v>327342.82859383302</v>
      </c>
      <c r="AZ49" s="79">
        <v>654685.65718766605</v>
      </c>
      <c r="BA49" s="79">
        <v>68805.252769855142</v>
      </c>
      <c r="BB49" s="79">
        <v>48063.47638492757</v>
      </c>
      <c r="BC49" s="79">
        <v>0</v>
      </c>
      <c r="BD49" s="79">
        <v>0</v>
      </c>
      <c r="BE49" s="79">
        <v>0</v>
      </c>
      <c r="BF49" s="79">
        <v>0</v>
      </c>
      <c r="BG49" s="79">
        <v>0</v>
      </c>
      <c r="BH49" s="79">
        <v>0</v>
      </c>
      <c r="BI49" s="79">
        <v>0</v>
      </c>
      <c r="BJ49" s="79"/>
      <c r="BK49" s="79">
        <v>0</v>
      </c>
      <c r="BL49" s="79"/>
      <c r="BM49" s="79">
        <v>121224.23</v>
      </c>
      <c r="BN49" s="79">
        <v>1928.99</v>
      </c>
      <c r="BO49" s="79">
        <v>0</v>
      </c>
      <c r="BP49" s="79">
        <v>0</v>
      </c>
      <c r="BQ49" s="79">
        <v>109114.27619794433</v>
      </c>
      <c r="BR49" s="79">
        <v>140395.22015668923</v>
      </c>
      <c r="BS49" s="79">
        <v>0</v>
      </c>
      <c r="BT49" s="79">
        <v>0</v>
      </c>
      <c r="BU49" s="79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80">
        <v>0</v>
      </c>
      <c r="CC49" s="80">
        <v>0</v>
      </c>
      <c r="CD49" s="79">
        <v>0</v>
      </c>
      <c r="CE49" s="79">
        <v>0</v>
      </c>
      <c r="CF49" s="79">
        <v>0</v>
      </c>
      <c r="CG49" s="79">
        <v>0</v>
      </c>
      <c r="CH49" s="79">
        <v>0</v>
      </c>
      <c r="CI49" s="79">
        <v>218228.55239588866</v>
      </c>
      <c r="CJ49" s="79">
        <v>0</v>
      </c>
      <c r="CK49" s="79">
        <v>23000</v>
      </c>
      <c r="CL49" s="79">
        <v>5000</v>
      </c>
      <c r="CM49" s="79">
        <v>249079.28</v>
      </c>
      <c r="CN49" s="79">
        <v>100000</v>
      </c>
      <c r="CO49" s="79">
        <v>0</v>
      </c>
      <c r="CP49" s="79">
        <v>0</v>
      </c>
      <c r="CQ49" s="79">
        <v>10746.008230452677</v>
      </c>
      <c r="CR49" s="79">
        <v>0</v>
      </c>
      <c r="CS49" s="79">
        <v>24921.590909090908</v>
      </c>
      <c r="CT49" s="79"/>
      <c r="CU49" s="79">
        <v>0</v>
      </c>
      <c r="CV49" s="79"/>
      <c r="CW49" s="79">
        <v>0</v>
      </c>
      <c r="CX49" s="79">
        <v>0</v>
      </c>
      <c r="CY49" s="79">
        <v>0</v>
      </c>
      <c r="CZ49" s="79">
        <v>0</v>
      </c>
      <c r="DA49" s="79">
        <v>29500</v>
      </c>
      <c r="DB49" s="79">
        <v>68374.941897216733</v>
      </c>
      <c r="DC49" s="82">
        <v>0</v>
      </c>
      <c r="DD49" s="79">
        <v>0</v>
      </c>
      <c r="DE49" s="79"/>
      <c r="DF49" s="79">
        <v>54250</v>
      </c>
      <c r="DG49" s="79">
        <v>0</v>
      </c>
      <c r="DH49" s="83">
        <v>0</v>
      </c>
      <c r="DI49" s="79">
        <v>16389.545227478386</v>
      </c>
      <c r="DJ49" s="79">
        <v>4834915.8421061244</v>
      </c>
      <c r="DK49" s="84">
        <v>109114.02789387573</v>
      </c>
      <c r="DL49" s="84">
        <v>59311.7</v>
      </c>
      <c r="DM49" s="84">
        <f t="shared" si="16"/>
        <v>5003341.57</v>
      </c>
      <c r="DN49" s="84">
        <f>'[7]FY20 Initial Budget Alloca FTE'!F49*DN$1</f>
        <v>589918.24082304537</v>
      </c>
      <c r="DO49" s="81">
        <f t="shared" si="0"/>
        <v>0</v>
      </c>
      <c r="DP49" s="81">
        <f t="shared" si="17"/>
        <v>267964.81513388251</v>
      </c>
      <c r="DQ49" s="74">
        <f t="shared" si="18"/>
        <v>321953.42568916286</v>
      </c>
      <c r="DR49" s="85">
        <f t="shared" si="36"/>
        <v>0.54575940089592434</v>
      </c>
      <c r="DS49" s="81">
        <f t="shared" si="19"/>
        <v>2664753.6101488518</v>
      </c>
      <c r="DT49" s="81">
        <f t="shared" si="1"/>
        <v>1208011.4911342261</v>
      </c>
      <c r="DU49" s="81">
        <f t="shared" si="2"/>
        <v>0</v>
      </c>
      <c r="DV49" s="81">
        <f t="shared" si="34"/>
        <v>123153.22</v>
      </c>
      <c r="DW49" s="81">
        <f t="shared" si="29"/>
        <v>0</v>
      </c>
      <c r="DX49" s="81">
        <f t="shared" si="30"/>
        <v>0</v>
      </c>
      <c r="DY49" s="81">
        <f t="shared" si="31"/>
        <v>0</v>
      </c>
      <c r="DZ49" s="81">
        <f t="shared" si="32"/>
        <v>249079.28</v>
      </c>
      <c r="EA49" s="74">
        <f t="shared" si="8"/>
        <v>321953.42568916286</v>
      </c>
      <c r="EB49" s="81">
        <f t="shared" si="33"/>
        <v>0</v>
      </c>
      <c r="EC49" s="81">
        <f t="shared" si="33"/>
        <v>267964.81513388251</v>
      </c>
      <c r="ED49" s="86">
        <f t="shared" si="20"/>
        <v>0.54575940089592434</v>
      </c>
      <c r="EE49" s="81">
        <f t="shared" si="21"/>
        <v>589918.24082304537</v>
      </c>
      <c r="EF49" s="81">
        <f t="shared" si="22"/>
        <v>4834915.8421061235</v>
      </c>
      <c r="EG49" s="81">
        <f t="shared" si="10"/>
        <v>0</v>
      </c>
      <c r="EH49" s="81">
        <v>4827185.9787526121</v>
      </c>
      <c r="EI49" s="84">
        <f t="shared" si="35"/>
        <v>4585836.5621061241</v>
      </c>
      <c r="EJ49" s="74">
        <f t="shared" si="12"/>
        <v>7729.8633535122499</v>
      </c>
      <c r="EK49" s="74">
        <f t="shared" si="13"/>
        <v>-241349.41664648801</v>
      </c>
      <c r="EM49" s="88">
        <f t="shared" si="14"/>
        <v>295</v>
      </c>
      <c r="EN49" s="74">
        <v>270</v>
      </c>
      <c r="EO49" s="74">
        <f t="shared" si="15"/>
        <v>25</v>
      </c>
      <c r="EP49" s="72">
        <v>275</v>
      </c>
      <c r="EQ49" s="74">
        <f t="shared" si="23"/>
        <v>5</v>
      </c>
      <c r="ER49" s="72">
        <v>322</v>
      </c>
      <c r="ES49" s="74">
        <f t="shared" si="24"/>
        <v>-27</v>
      </c>
      <c r="ET49" s="74"/>
      <c r="EU49" s="74"/>
      <c r="EV49" s="74"/>
      <c r="EW49" s="89"/>
      <c r="EX49" s="81">
        <f t="shared" si="26"/>
        <v>4146890.801069363</v>
      </c>
      <c r="EY49" s="81">
        <f t="shared" si="27"/>
        <v>688025.04103676032</v>
      </c>
    </row>
    <row r="50" spans="1:155" x14ac:dyDescent="0.25">
      <c r="A50" s="76">
        <v>421</v>
      </c>
      <c r="B50" s="76" t="s">
        <v>189</v>
      </c>
      <c r="C50" s="77" t="s">
        <v>152</v>
      </c>
      <c r="D50" s="41">
        <v>7</v>
      </c>
      <c r="E50" s="78">
        <v>548</v>
      </c>
      <c r="F50" s="78">
        <v>393.43518518518522</v>
      </c>
      <c r="G50" s="79">
        <v>173177.12015668923</v>
      </c>
      <c r="H50" s="79">
        <v>109114.27619794433</v>
      </c>
      <c r="I50" s="79">
        <v>252711.39628204063</v>
      </c>
      <c r="J50" s="79">
        <v>152759.98667712204</v>
      </c>
      <c r="K50" s="79">
        <v>0</v>
      </c>
      <c r="L50" s="79">
        <v>81577.320156689224</v>
      </c>
      <c r="M50" s="79">
        <v>59319.676384927567</v>
      </c>
      <c r="N50" s="79">
        <v>62489.456938898591</v>
      </c>
      <c r="O50" s="79">
        <v>0</v>
      </c>
      <c r="P50" s="79">
        <f>62573.5867467406-Q50</f>
        <v>0</v>
      </c>
      <c r="Q50" s="79">
        <v>62573.586746740584</v>
      </c>
      <c r="R50" s="79">
        <v>69375.836746740591</v>
      </c>
      <c r="S50" s="79">
        <v>54629.386746740587</v>
      </c>
      <c r="T50" s="79">
        <v>195834.94698696234</v>
      </c>
      <c r="U50" s="79">
        <v>109114.27619794433</v>
      </c>
      <c r="V50" s="79">
        <v>0</v>
      </c>
      <c r="W50" s="79">
        <v>0</v>
      </c>
      <c r="X50" s="79">
        <v>0</v>
      </c>
      <c r="Y50" s="79">
        <v>0</v>
      </c>
      <c r="Z50" s="79"/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79">
        <v>0</v>
      </c>
      <c r="AM50" s="79">
        <v>0</v>
      </c>
      <c r="AN50" s="79">
        <v>1003851.3410210877</v>
      </c>
      <c r="AO50" s="79">
        <v>992939.91340129334</v>
      </c>
      <c r="AP50" s="79">
        <v>720154.22290643258</v>
      </c>
      <c r="AQ50" s="79">
        <v>0</v>
      </c>
      <c r="AR50" s="79">
        <v>0</v>
      </c>
      <c r="AS50" s="79">
        <v>0</v>
      </c>
      <c r="AT50" s="79">
        <v>0</v>
      </c>
      <c r="AU50" s="79">
        <v>0</v>
      </c>
      <c r="AV50" s="79"/>
      <c r="AW50" s="79">
        <v>0</v>
      </c>
      <c r="AX50" s="79">
        <v>109114.27619794433</v>
      </c>
      <c r="AY50" s="79">
        <v>436457.10479177732</v>
      </c>
      <c r="AZ50" s="79">
        <v>982028.48578149895</v>
      </c>
      <c r="BA50" s="79">
        <v>137610.50553971028</v>
      </c>
      <c r="BB50" s="79">
        <v>96126.952769855139</v>
      </c>
      <c r="BC50" s="79">
        <v>0</v>
      </c>
      <c r="BD50" s="79">
        <v>109114.27619794433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/>
      <c r="BK50" s="79">
        <v>0</v>
      </c>
      <c r="BL50" s="79"/>
      <c r="BM50" s="79">
        <v>183975.59</v>
      </c>
      <c r="BN50" s="79">
        <v>2927.53</v>
      </c>
      <c r="BO50" s="79">
        <v>0</v>
      </c>
      <c r="BP50" s="79">
        <v>0</v>
      </c>
      <c r="BQ50" s="79">
        <v>109114.27619794433</v>
      </c>
      <c r="BR50" s="79">
        <v>140395.22015668923</v>
      </c>
      <c r="BS50" s="79">
        <v>0</v>
      </c>
      <c r="BT50" s="79">
        <v>0</v>
      </c>
      <c r="BU50" s="79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80">
        <v>0</v>
      </c>
      <c r="CC50" s="80">
        <v>0</v>
      </c>
      <c r="CD50" s="79">
        <v>0</v>
      </c>
      <c r="CE50" s="79">
        <v>0</v>
      </c>
      <c r="CF50" s="79">
        <v>0</v>
      </c>
      <c r="CG50" s="79">
        <v>0</v>
      </c>
      <c r="CH50" s="79">
        <v>0</v>
      </c>
      <c r="CI50" s="79">
        <v>327342.82859383302</v>
      </c>
      <c r="CJ50" s="79">
        <v>0</v>
      </c>
      <c r="CK50" s="79">
        <v>23000</v>
      </c>
      <c r="CL50" s="79">
        <v>5000</v>
      </c>
      <c r="CM50" s="79">
        <v>388291.54000000004</v>
      </c>
      <c r="CN50" s="79">
        <v>100000</v>
      </c>
      <c r="CO50" s="79">
        <v>0</v>
      </c>
      <c r="CP50" s="79">
        <v>0</v>
      </c>
      <c r="CQ50" s="79">
        <v>7868.7037037037044</v>
      </c>
      <c r="CR50" s="79">
        <v>0</v>
      </c>
      <c r="CS50" s="79">
        <v>40095.988888888889</v>
      </c>
      <c r="CT50" s="79"/>
      <c r="CU50" s="79">
        <v>0</v>
      </c>
      <c r="CV50" s="79"/>
      <c r="CW50" s="79">
        <v>0</v>
      </c>
      <c r="CX50" s="79">
        <v>0</v>
      </c>
      <c r="CY50" s="79">
        <v>0</v>
      </c>
      <c r="CZ50" s="79">
        <v>0</v>
      </c>
      <c r="DA50" s="79">
        <v>54800</v>
      </c>
      <c r="DB50" s="79">
        <v>107015.51938338477</v>
      </c>
      <c r="DC50" s="82">
        <v>0</v>
      </c>
      <c r="DD50" s="79">
        <v>0</v>
      </c>
      <c r="DE50" s="79"/>
      <c r="DF50" s="79">
        <v>74550</v>
      </c>
      <c r="DG50" s="79">
        <v>0</v>
      </c>
      <c r="DH50" s="83">
        <v>0</v>
      </c>
      <c r="DI50" s="79">
        <v>13748.999163779979</v>
      </c>
      <c r="DJ50" s="79">
        <v>7534451.5417514294</v>
      </c>
      <c r="DK50" s="84">
        <v>218229.41824857052</v>
      </c>
      <c r="DL50" s="84">
        <v>0</v>
      </c>
      <c r="DM50" s="84">
        <f t="shared" si="16"/>
        <v>7752680.96</v>
      </c>
      <c r="DN50" s="84">
        <f>'[7]FY20 Initial Budget Alloca FTE'!F50*DN$1</f>
        <v>863928.58574074088</v>
      </c>
      <c r="DO50" s="81">
        <f t="shared" si="0"/>
        <v>0</v>
      </c>
      <c r="DP50" s="81">
        <f t="shared" si="17"/>
        <v>285387.5106071335</v>
      </c>
      <c r="DQ50" s="74">
        <f t="shared" si="18"/>
        <v>578541.07513360737</v>
      </c>
      <c r="DR50" s="85">
        <f t="shared" si="36"/>
        <v>0.66966307711367201</v>
      </c>
      <c r="DS50" s="81">
        <f t="shared" si="19"/>
        <v>4224876.6947319563</v>
      </c>
      <c r="DT50" s="81">
        <f t="shared" si="1"/>
        <v>1761337.3250807859</v>
      </c>
      <c r="DU50" s="81">
        <f t="shared" si="2"/>
        <v>109114.27619794433</v>
      </c>
      <c r="DV50" s="81">
        <f t="shared" si="34"/>
        <v>186903.12</v>
      </c>
      <c r="DW50" s="81">
        <f t="shared" si="29"/>
        <v>0</v>
      </c>
      <c r="DX50" s="81">
        <f t="shared" si="30"/>
        <v>0</v>
      </c>
      <c r="DY50" s="81">
        <f t="shared" si="31"/>
        <v>0</v>
      </c>
      <c r="DZ50" s="81">
        <f t="shared" si="32"/>
        <v>388291.54000000004</v>
      </c>
      <c r="EA50" s="74">
        <f t="shared" si="8"/>
        <v>578541.07513360737</v>
      </c>
      <c r="EB50" s="81">
        <f t="shared" si="33"/>
        <v>0</v>
      </c>
      <c r="EC50" s="81">
        <f t="shared" si="33"/>
        <v>285387.5106071335</v>
      </c>
      <c r="ED50" s="86">
        <f t="shared" si="20"/>
        <v>0.66966307711367201</v>
      </c>
      <c r="EE50" s="81">
        <f t="shared" si="21"/>
        <v>863928.58574074088</v>
      </c>
      <c r="EF50" s="81">
        <f t="shared" si="22"/>
        <v>7534451.5417514285</v>
      </c>
      <c r="EG50" s="81">
        <f t="shared" si="10"/>
        <v>0</v>
      </c>
      <c r="EH50" s="81">
        <v>6741918.8344019912</v>
      </c>
      <c r="EI50" s="84">
        <f t="shared" si="35"/>
        <v>7146160.0017514294</v>
      </c>
      <c r="EJ50" s="74">
        <f t="shared" si="12"/>
        <v>792532.70734943822</v>
      </c>
      <c r="EK50" s="74">
        <f t="shared" si="13"/>
        <v>404241.16734943818</v>
      </c>
      <c r="EM50" s="88">
        <f t="shared" si="14"/>
        <v>548</v>
      </c>
      <c r="EN50" s="74">
        <v>424</v>
      </c>
      <c r="EO50" s="74">
        <f t="shared" si="15"/>
        <v>124</v>
      </c>
      <c r="EP50" s="94">
        <v>482</v>
      </c>
      <c r="EQ50" s="74">
        <f t="shared" si="23"/>
        <v>58</v>
      </c>
      <c r="ER50" s="72">
        <v>429</v>
      </c>
      <c r="ES50" s="74">
        <f t="shared" si="24"/>
        <v>119</v>
      </c>
      <c r="ET50" s="74"/>
      <c r="EU50" s="74"/>
      <c r="EV50" s="74"/>
      <c r="EW50" s="89"/>
      <c r="EX50" s="81">
        <f t="shared" si="26"/>
        <v>6546926.6697754525</v>
      </c>
      <c r="EY50" s="81">
        <f t="shared" si="27"/>
        <v>987524.87197597732</v>
      </c>
    </row>
    <row r="51" spans="1:155" x14ac:dyDescent="0.25">
      <c r="A51" s="76">
        <v>257</v>
      </c>
      <c r="B51" s="76" t="s">
        <v>371</v>
      </c>
      <c r="C51" s="77" t="s">
        <v>135</v>
      </c>
      <c r="D51" s="41">
        <v>8</v>
      </c>
      <c r="E51" s="78">
        <v>310</v>
      </c>
      <c r="F51" s="78">
        <v>278.1914191419142</v>
      </c>
      <c r="G51" s="79">
        <v>173177.12015668923</v>
      </c>
      <c r="H51" s="79">
        <v>109114.27619794433</v>
      </c>
      <c r="I51" s="79">
        <v>112316.1761253514</v>
      </c>
      <c r="J51" s="79">
        <v>0</v>
      </c>
      <c r="K51" s="79">
        <v>0</v>
      </c>
      <c r="L51" s="79">
        <v>81577.320156689224</v>
      </c>
      <c r="M51" s="79">
        <v>59319.676384927567</v>
      </c>
      <c r="N51" s="79">
        <v>0</v>
      </c>
      <c r="O51" s="79">
        <v>0</v>
      </c>
      <c r="P51" s="79">
        <v>0</v>
      </c>
      <c r="Q51" s="79"/>
      <c r="R51" s="79">
        <v>69375.836746740591</v>
      </c>
      <c r="S51" s="79">
        <v>54629.386746740587</v>
      </c>
      <c r="T51" s="79">
        <v>97917.473493481171</v>
      </c>
      <c r="U51" s="79">
        <v>109114.27619794433</v>
      </c>
      <c r="V51" s="79">
        <v>109114.27619794433</v>
      </c>
      <c r="W51" s="79">
        <v>109114.27619794433</v>
      </c>
      <c r="X51" s="79">
        <v>109114.27619794433</v>
      </c>
      <c r="Y51" s="79">
        <f>163671.414296917-Z51</f>
        <v>4.9476511776447296E-10</v>
      </c>
      <c r="Z51" s="79">
        <f>1.5*Z$121</f>
        <v>163671.41429691651</v>
      </c>
      <c r="AA51" s="79">
        <v>218228.55239588866</v>
      </c>
      <c r="AB51" s="79">
        <v>68805.252769855142</v>
      </c>
      <c r="AC51" s="79">
        <v>109114.27619794433</v>
      </c>
      <c r="AD51" s="79">
        <v>34402.626384927571</v>
      </c>
      <c r="AE51" s="79">
        <v>218228.55239588866</v>
      </c>
      <c r="AF51" s="79">
        <v>68805.252769855142</v>
      </c>
      <c r="AG51" s="79">
        <v>218228.55239588866</v>
      </c>
      <c r="AH51" s="79">
        <v>68805.252769855142</v>
      </c>
      <c r="AI51" s="79">
        <v>218228.55239588866</v>
      </c>
      <c r="AJ51" s="79">
        <v>218228.55239588866</v>
      </c>
      <c r="AK51" s="79">
        <v>218228.55239588866</v>
      </c>
      <c r="AL51" s="79">
        <v>218228.55239588866</v>
      </c>
      <c r="AM51" s="79">
        <v>218228.55239588866</v>
      </c>
      <c r="AN51" s="79">
        <v>0</v>
      </c>
      <c r="AO51" s="79">
        <v>0</v>
      </c>
      <c r="AP51" s="79">
        <v>0</v>
      </c>
      <c r="AQ51" s="79">
        <v>0</v>
      </c>
      <c r="AR51" s="79">
        <v>0</v>
      </c>
      <c r="AS51" s="79">
        <v>0</v>
      </c>
      <c r="AT51" s="79">
        <v>0</v>
      </c>
      <c r="AU51" s="79">
        <v>0</v>
      </c>
      <c r="AV51" s="79"/>
      <c r="AW51" s="79">
        <v>0</v>
      </c>
      <c r="AX51" s="79">
        <v>109114.27619794433</v>
      </c>
      <c r="AY51" s="79">
        <v>109114.27619794433</v>
      </c>
      <c r="AZ51" s="79">
        <v>436457.10479177732</v>
      </c>
      <c r="BA51" s="79">
        <v>0</v>
      </c>
      <c r="BB51" s="79">
        <v>0</v>
      </c>
      <c r="BC51" s="79">
        <v>0</v>
      </c>
      <c r="BD51" s="79">
        <v>24798.699135896437</v>
      </c>
      <c r="BE51" s="79">
        <v>0</v>
      </c>
      <c r="BF51" s="79">
        <v>0</v>
      </c>
      <c r="BG51" s="79">
        <f>23944-BL51</f>
        <v>12346.9</v>
      </c>
      <c r="BH51" s="79">
        <v>22448</v>
      </c>
      <c r="BI51" s="79">
        <v>6734</v>
      </c>
      <c r="BJ51" s="79"/>
      <c r="BK51" s="79">
        <v>0</v>
      </c>
      <c r="BL51" s="79">
        <v>11597.1</v>
      </c>
      <c r="BM51" s="79">
        <v>147370.63</v>
      </c>
      <c r="BN51" s="79">
        <v>2345.0500000000002</v>
      </c>
      <c r="BO51" s="79">
        <v>0</v>
      </c>
      <c r="BP51" s="79">
        <v>0</v>
      </c>
      <c r="BQ51" s="79">
        <v>0</v>
      </c>
      <c r="BR51" s="79">
        <v>0</v>
      </c>
      <c r="BS51" s="79">
        <v>0</v>
      </c>
      <c r="BT51" s="79">
        <v>0</v>
      </c>
      <c r="BU51" s="79">
        <v>0</v>
      </c>
      <c r="BV51" s="80">
        <v>0</v>
      </c>
      <c r="BW51" s="80">
        <v>0</v>
      </c>
      <c r="BX51" s="80">
        <v>0</v>
      </c>
      <c r="BY51" s="80">
        <v>0</v>
      </c>
      <c r="BZ51" s="80">
        <v>0</v>
      </c>
      <c r="CA51" s="80">
        <v>0</v>
      </c>
      <c r="CB51" s="80">
        <v>0</v>
      </c>
      <c r="CC51" s="80">
        <v>0</v>
      </c>
      <c r="CD51" s="79">
        <v>0</v>
      </c>
      <c r="CE51" s="79">
        <v>0</v>
      </c>
      <c r="CF51" s="79">
        <v>0</v>
      </c>
      <c r="CG51" s="79">
        <v>0</v>
      </c>
      <c r="CH51" s="79">
        <v>0</v>
      </c>
      <c r="CI51" s="79">
        <v>0</v>
      </c>
      <c r="CJ51" s="79">
        <v>0</v>
      </c>
      <c r="CK51" s="79">
        <v>0</v>
      </c>
      <c r="CL51" s="79">
        <v>0</v>
      </c>
      <c r="CM51" s="79">
        <v>54082.8</v>
      </c>
      <c r="CN51" s="79">
        <v>0</v>
      </c>
      <c r="CO51" s="79">
        <v>0</v>
      </c>
      <c r="CP51" s="79">
        <v>0</v>
      </c>
      <c r="CQ51" s="79">
        <v>11127.656765676567</v>
      </c>
      <c r="CR51" s="79">
        <v>0</v>
      </c>
      <c r="CS51" s="79">
        <v>19532.23076923077</v>
      </c>
      <c r="CT51" s="79"/>
      <c r="CU51" s="79">
        <v>0</v>
      </c>
      <c r="CV51" s="79"/>
      <c r="CW51" s="79">
        <v>0</v>
      </c>
      <c r="CX51" s="79">
        <v>0</v>
      </c>
      <c r="CY51" s="79">
        <v>0</v>
      </c>
      <c r="CZ51" s="79">
        <v>0</v>
      </c>
      <c r="DA51" s="79">
        <v>31000</v>
      </c>
      <c r="DB51" s="79">
        <v>66538.099665833899</v>
      </c>
      <c r="DC51" s="82">
        <v>0</v>
      </c>
      <c r="DD51" s="79">
        <v>15363.214285714286</v>
      </c>
      <c r="DE51" s="79"/>
      <c r="DF51" s="79">
        <v>18900</v>
      </c>
      <c r="DG51" s="79">
        <v>0</v>
      </c>
      <c r="DH51" s="83">
        <v>0</v>
      </c>
      <c r="DI51" s="79">
        <v>14684.473880538135</v>
      </c>
      <c r="DJ51" s="79">
        <v>4552186.9029668216</v>
      </c>
      <c r="DK51" s="84">
        <v>-2.9668211936950684E-3</v>
      </c>
      <c r="DL51" s="84">
        <v>0</v>
      </c>
      <c r="DM51" s="84">
        <f t="shared" si="16"/>
        <v>4552186.9000000004</v>
      </c>
      <c r="DN51" s="84">
        <f>'[7]FY20 Initial Budget Alloca FTE'!F51*DN$1</f>
        <v>610869.40963696374</v>
      </c>
      <c r="DO51" s="81">
        <f t="shared" si="0"/>
        <v>41528.9</v>
      </c>
      <c r="DP51" s="81">
        <f t="shared" si="17"/>
        <v>193699.07106259308</v>
      </c>
      <c r="DQ51" s="74">
        <f t="shared" si="18"/>
        <v>375641.43857437064</v>
      </c>
      <c r="DR51" s="85">
        <f t="shared" si="36"/>
        <v>0.61492920196742584</v>
      </c>
      <c r="DS51" s="81">
        <f t="shared" si="19"/>
        <v>3031074.3427205826</v>
      </c>
      <c r="DT51" s="81">
        <f t="shared" si="1"/>
        <v>654685.65718766605</v>
      </c>
      <c r="DU51" s="81">
        <f t="shared" si="2"/>
        <v>24798.699135896437</v>
      </c>
      <c r="DV51" s="81">
        <f t="shared" si="34"/>
        <v>161312.78</v>
      </c>
      <c r="DW51" s="81">
        <f t="shared" si="29"/>
        <v>15363.214285714286</v>
      </c>
      <c r="DX51" s="81">
        <f t="shared" si="30"/>
        <v>0</v>
      </c>
      <c r="DY51" s="81">
        <f t="shared" si="31"/>
        <v>0</v>
      </c>
      <c r="DZ51" s="81">
        <f t="shared" si="32"/>
        <v>54082.8</v>
      </c>
      <c r="EA51" s="74">
        <f t="shared" si="8"/>
        <v>375641.43857437064</v>
      </c>
      <c r="EB51" s="81">
        <f t="shared" si="33"/>
        <v>41528.9</v>
      </c>
      <c r="EC51" s="81">
        <f t="shared" si="33"/>
        <v>193699.07106259308</v>
      </c>
      <c r="ED51" s="86">
        <f t="shared" si="20"/>
        <v>0.61492920196742584</v>
      </c>
      <c r="EE51" s="81">
        <f t="shared" si="21"/>
        <v>610869.40963696374</v>
      </c>
      <c r="EF51" s="81">
        <f t="shared" si="22"/>
        <v>4552186.9029668225</v>
      </c>
      <c r="EG51" s="81">
        <f t="shared" si="10"/>
        <v>0</v>
      </c>
      <c r="EH51" s="81">
        <v>4055630.7162528415</v>
      </c>
      <c r="EI51" s="84">
        <f t="shared" si="35"/>
        <v>4498104.1029668218</v>
      </c>
      <c r="EJ51" s="74">
        <f t="shared" si="12"/>
        <v>496556.18671398005</v>
      </c>
      <c r="EK51" s="74">
        <f t="shared" si="13"/>
        <v>442473.38671398023</v>
      </c>
      <c r="EM51" s="88">
        <f t="shared" si="14"/>
        <v>310</v>
      </c>
      <c r="EN51" s="74">
        <v>300</v>
      </c>
      <c r="EO51" s="74">
        <f t="shared" si="15"/>
        <v>10</v>
      </c>
      <c r="EP51" s="72">
        <v>300</v>
      </c>
      <c r="EQ51" s="74">
        <f t="shared" si="23"/>
        <v>0</v>
      </c>
      <c r="ER51" s="72">
        <v>298</v>
      </c>
      <c r="ES51" s="74">
        <f t="shared" si="24"/>
        <v>12</v>
      </c>
      <c r="ET51" s="74"/>
      <c r="EU51" s="74"/>
      <c r="EV51" s="74"/>
      <c r="EW51" s="89"/>
      <c r="EX51" s="81">
        <f t="shared" si="26"/>
        <v>4174330.1214803667</v>
      </c>
      <c r="EY51" s="81">
        <f t="shared" si="27"/>
        <v>377856.78148645553</v>
      </c>
    </row>
    <row r="52" spans="1:155" x14ac:dyDescent="0.25">
      <c r="A52" s="76">
        <v>272</v>
      </c>
      <c r="B52" s="76" t="s">
        <v>191</v>
      </c>
      <c r="C52" s="77" t="s">
        <v>135</v>
      </c>
      <c r="D52" s="41">
        <v>3</v>
      </c>
      <c r="E52" s="78">
        <v>409</v>
      </c>
      <c r="F52" s="78">
        <v>17.160891089108912</v>
      </c>
      <c r="G52" s="79">
        <v>173177.12015668923</v>
      </c>
      <c r="H52" s="79">
        <v>109114.27619794433</v>
      </c>
      <c r="I52" s="79">
        <v>140395.22015668923</v>
      </c>
      <c r="J52" s="79">
        <v>0</v>
      </c>
      <c r="K52" s="79">
        <v>0</v>
      </c>
      <c r="L52" s="79">
        <v>81577.320156689224</v>
      </c>
      <c r="M52" s="79">
        <v>59319.676384927567</v>
      </c>
      <c r="N52" s="79">
        <v>44635.326384927568</v>
      </c>
      <c r="O52" s="79">
        <v>0</v>
      </c>
      <c r="P52" s="79">
        <v>0</v>
      </c>
      <c r="Q52" s="79"/>
      <c r="R52" s="79">
        <v>69375.836746740591</v>
      </c>
      <c r="S52" s="79">
        <v>54629.386746740587</v>
      </c>
      <c r="T52" s="79">
        <v>97917.473493481171</v>
      </c>
      <c r="U52" s="79">
        <v>109114.27619794433</v>
      </c>
      <c r="V52" s="79">
        <v>109114.27619794433</v>
      </c>
      <c r="W52" s="79">
        <v>109114.27619794433</v>
      </c>
      <c r="X52" s="79">
        <v>109114.27619794433</v>
      </c>
      <c r="Y52" s="79">
        <v>163671.41429691651</v>
      </c>
      <c r="Z52" s="79"/>
      <c r="AA52" s="79">
        <v>0</v>
      </c>
      <c r="AB52" s="79">
        <v>0</v>
      </c>
      <c r="AC52" s="79">
        <v>0</v>
      </c>
      <c r="AD52" s="79">
        <v>0</v>
      </c>
      <c r="AE52" s="79">
        <v>218228.55239588866</v>
      </c>
      <c r="AF52" s="79">
        <v>68805.252769855142</v>
      </c>
      <c r="AG52" s="79">
        <v>327342.82859383302</v>
      </c>
      <c r="AH52" s="79">
        <v>103207.87915478271</v>
      </c>
      <c r="AI52" s="79">
        <v>327342.82859383302</v>
      </c>
      <c r="AJ52" s="79">
        <v>327342.82859383302</v>
      </c>
      <c r="AK52" s="79">
        <v>327342.82859383302</v>
      </c>
      <c r="AL52" s="79">
        <v>327342.82859383302</v>
      </c>
      <c r="AM52" s="79">
        <v>327342.82859383302</v>
      </c>
      <c r="AN52" s="79">
        <v>0</v>
      </c>
      <c r="AO52" s="79">
        <v>0</v>
      </c>
      <c r="AP52" s="79">
        <v>0</v>
      </c>
      <c r="AQ52" s="79">
        <v>0</v>
      </c>
      <c r="AR52" s="79">
        <v>0</v>
      </c>
      <c r="AS52" s="79">
        <v>0</v>
      </c>
      <c r="AT52" s="79">
        <v>0</v>
      </c>
      <c r="AU52" s="79">
        <v>0</v>
      </c>
      <c r="AV52" s="79"/>
      <c r="AW52" s="79">
        <v>0</v>
      </c>
      <c r="AX52" s="79">
        <v>54557.138098972166</v>
      </c>
      <c r="AY52" s="79">
        <v>109114.27619794433</v>
      </c>
      <c r="AZ52" s="79">
        <v>327342.82859383302</v>
      </c>
      <c r="BA52" s="79">
        <v>0</v>
      </c>
      <c r="BB52" s="79">
        <v>0</v>
      </c>
      <c r="BC52" s="79">
        <v>0</v>
      </c>
      <c r="BD52" s="79">
        <v>109114.27619794433</v>
      </c>
      <c r="BE52" s="79">
        <v>0</v>
      </c>
      <c r="BF52" s="79">
        <v>0</v>
      </c>
      <c r="BG52" s="79">
        <v>0</v>
      </c>
      <c r="BH52" s="79">
        <v>0</v>
      </c>
      <c r="BI52" s="79">
        <v>0</v>
      </c>
      <c r="BJ52" s="79"/>
      <c r="BK52" s="79">
        <v>0</v>
      </c>
      <c r="BL52" s="79"/>
      <c r="BM52" s="79">
        <v>0</v>
      </c>
      <c r="BN52" s="79">
        <v>0</v>
      </c>
      <c r="BO52" s="79">
        <v>10425</v>
      </c>
      <c r="BP52" s="79">
        <v>0</v>
      </c>
      <c r="BQ52" s="79">
        <v>0</v>
      </c>
      <c r="BR52" s="79">
        <v>0</v>
      </c>
      <c r="BS52" s="79">
        <v>0</v>
      </c>
      <c r="BT52" s="79">
        <v>0</v>
      </c>
      <c r="BU52" s="79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80">
        <v>0</v>
      </c>
      <c r="CC52" s="80">
        <v>0</v>
      </c>
      <c r="CD52" s="79">
        <v>0</v>
      </c>
      <c r="CE52" s="79">
        <v>0</v>
      </c>
      <c r="CF52" s="79">
        <v>0</v>
      </c>
      <c r="CG52" s="79">
        <v>0</v>
      </c>
      <c r="CH52" s="79">
        <v>0</v>
      </c>
      <c r="CI52" s="79">
        <v>0</v>
      </c>
      <c r="CJ52" s="79">
        <v>0</v>
      </c>
      <c r="CK52" s="79">
        <v>0</v>
      </c>
      <c r="CL52" s="79">
        <v>0</v>
      </c>
      <c r="CM52" s="79">
        <v>54082.8</v>
      </c>
      <c r="CN52" s="79">
        <v>0</v>
      </c>
      <c r="CO52" s="79">
        <v>0</v>
      </c>
      <c r="CP52" s="79">
        <v>0</v>
      </c>
      <c r="CQ52" s="79">
        <v>0</v>
      </c>
      <c r="CR52" s="79">
        <v>0</v>
      </c>
      <c r="CS52" s="79">
        <v>21935.627450980392</v>
      </c>
      <c r="CT52" s="79"/>
      <c r="CU52" s="79">
        <v>0</v>
      </c>
      <c r="CV52" s="79"/>
      <c r="CW52" s="79">
        <v>0</v>
      </c>
      <c r="CX52" s="79">
        <v>0</v>
      </c>
      <c r="CY52" s="79">
        <v>0</v>
      </c>
      <c r="CZ52" s="79">
        <v>0</v>
      </c>
      <c r="DA52" s="79">
        <v>40900</v>
      </c>
      <c r="DB52" s="79">
        <v>70593.627020820437</v>
      </c>
      <c r="DC52" s="82">
        <v>0</v>
      </c>
      <c r="DD52" s="79">
        <v>0</v>
      </c>
      <c r="DE52" s="79"/>
      <c r="DF52" s="79">
        <v>1950</v>
      </c>
      <c r="DG52" s="79">
        <v>0</v>
      </c>
      <c r="DH52" s="83">
        <v>0</v>
      </c>
      <c r="DI52" s="79">
        <v>11209.252774957315</v>
      </c>
      <c r="DJ52" s="79">
        <v>4584584.3849575417</v>
      </c>
      <c r="DK52" s="84">
        <v>-4.957541823387146E-3</v>
      </c>
      <c r="DL52" s="84">
        <v>0</v>
      </c>
      <c r="DM52" s="84">
        <f t="shared" si="16"/>
        <v>4584584.38</v>
      </c>
      <c r="DN52" s="84">
        <f>'[7]FY20 Initial Budget Alloca FTE'!F52*DN$1</f>
        <v>37682.914306930696</v>
      </c>
      <c r="DO52" s="81">
        <f t="shared" si="0"/>
        <v>0</v>
      </c>
      <c r="DP52" s="81">
        <f t="shared" si="17"/>
        <v>1950</v>
      </c>
      <c r="DQ52" s="74">
        <f t="shared" si="18"/>
        <v>35732.914306930696</v>
      </c>
      <c r="DR52" s="85">
        <f t="shared" si="36"/>
        <v>0.94825240998832849</v>
      </c>
      <c r="DS52" s="81">
        <f t="shared" si="19"/>
        <v>3882265.1515619173</v>
      </c>
      <c r="DT52" s="81">
        <f t="shared" si="1"/>
        <v>491014.24289074953</v>
      </c>
      <c r="DU52" s="81">
        <f t="shared" si="2"/>
        <v>109114.27619794433</v>
      </c>
      <c r="DV52" s="81">
        <f t="shared" si="34"/>
        <v>10425</v>
      </c>
      <c r="DW52" s="81">
        <f t="shared" si="29"/>
        <v>0</v>
      </c>
      <c r="DX52" s="81">
        <f t="shared" si="30"/>
        <v>0</v>
      </c>
      <c r="DY52" s="81">
        <f t="shared" si="31"/>
        <v>0</v>
      </c>
      <c r="DZ52" s="81">
        <f t="shared" si="32"/>
        <v>54082.8</v>
      </c>
      <c r="EA52" s="74">
        <f t="shared" si="8"/>
        <v>35732.914306930696</v>
      </c>
      <c r="EB52" s="81">
        <f t="shared" si="33"/>
        <v>0</v>
      </c>
      <c r="EC52" s="81">
        <f t="shared" si="33"/>
        <v>1950</v>
      </c>
      <c r="ED52" s="86">
        <f t="shared" si="20"/>
        <v>0.94825240998832849</v>
      </c>
      <c r="EE52" s="81">
        <f t="shared" si="21"/>
        <v>37682.914306930696</v>
      </c>
      <c r="EF52" s="81">
        <f t="shared" si="22"/>
        <v>4584584.3849575417</v>
      </c>
      <c r="EG52" s="81">
        <f t="shared" si="10"/>
        <v>0</v>
      </c>
      <c r="EH52" s="81">
        <v>4199132.4394186437</v>
      </c>
      <c r="EI52" s="84">
        <f t="shared" si="35"/>
        <v>4530501.5849575419</v>
      </c>
      <c r="EJ52" s="74">
        <f t="shared" si="12"/>
        <v>385451.945538898</v>
      </c>
      <c r="EK52" s="74">
        <f t="shared" si="13"/>
        <v>331369.14553889818</v>
      </c>
      <c r="EM52" s="88">
        <f t="shared" si="14"/>
        <v>409</v>
      </c>
      <c r="EN52" s="74">
        <v>427</v>
      </c>
      <c r="EO52" s="74">
        <f t="shared" si="15"/>
        <v>-18</v>
      </c>
      <c r="EP52" s="72">
        <v>399</v>
      </c>
      <c r="EQ52" s="74">
        <f t="shared" si="23"/>
        <v>-28</v>
      </c>
      <c r="ER52" s="72">
        <v>409</v>
      </c>
      <c r="ES52" s="74">
        <f t="shared" si="24"/>
        <v>0</v>
      </c>
      <c r="ET52" s="74"/>
      <c r="EU52" s="74"/>
      <c r="EV52" s="74"/>
      <c r="EW52" s="89"/>
      <c r="EX52" s="81">
        <f t="shared" si="26"/>
        <v>4384697.3304857416</v>
      </c>
      <c r="EY52" s="81">
        <f t="shared" si="27"/>
        <v>199887.05447180083</v>
      </c>
    </row>
    <row r="53" spans="1:155" x14ac:dyDescent="0.25">
      <c r="A53" s="76">
        <v>259</v>
      </c>
      <c r="B53" s="76" t="s">
        <v>192</v>
      </c>
      <c r="C53" s="77" t="s">
        <v>135</v>
      </c>
      <c r="D53" s="41">
        <v>7</v>
      </c>
      <c r="E53" s="78">
        <v>379</v>
      </c>
      <c r="F53" s="78">
        <v>314.26943005181346</v>
      </c>
      <c r="G53" s="79">
        <v>173177.12015668923</v>
      </c>
      <c r="H53" s="79">
        <v>109114.27619794433</v>
      </c>
      <c r="I53" s="79">
        <v>126355.69814102032</v>
      </c>
      <c r="J53" s="79">
        <v>0</v>
      </c>
      <c r="K53" s="79">
        <v>0</v>
      </c>
      <c r="L53" s="79">
        <v>81577.320156689224</v>
      </c>
      <c r="M53" s="79">
        <v>59319.676384927567</v>
      </c>
      <c r="N53" s="79">
        <v>0</v>
      </c>
      <c r="O53" s="79">
        <v>0</v>
      </c>
      <c r="P53" s="79">
        <v>0</v>
      </c>
      <c r="Q53" s="79"/>
      <c r="R53" s="79">
        <v>69375.836746740591</v>
      </c>
      <c r="S53" s="79">
        <v>54629.386746740587</v>
      </c>
      <c r="T53" s="79">
        <v>97917.473493481171</v>
      </c>
      <c r="U53" s="79">
        <v>109114.27619794433</v>
      </c>
      <c r="V53" s="79">
        <v>109114.27619794433</v>
      </c>
      <c r="W53" s="79">
        <v>109114.27619794433</v>
      </c>
      <c r="X53" s="79">
        <v>109114.27619794433</v>
      </c>
      <c r="Y53" s="79">
        <v>0</v>
      </c>
      <c r="Z53" s="79"/>
      <c r="AA53" s="79">
        <v>218228.55239588866</v>
      </c>
      <c r="AB53" s="79">
        <v>68805.252769855142</v>
      </c>
      <c r="AC53" s="79">
        <v>0</v>
      </c>
      <c r="AD53" s="79">
        <v>0</v>
      </c>
      <c r="AE53" s="79">
        <v>218228.55239588866</v>
      </c>
      <c r="AF53" s="79">
        <v>68805.252769855142</v>
      </c>
      <c r="AG53" s="79">
        <v>327342.82859383302</v>
      </c>
      <c r="AH53" s="79">
        <v>103207.87915478271</v>
      </c>
      <c r="AI53" s="79">
        <v>218228.55239588866</v>
      </c>
      <c r="AJ53" s="79">
        <v>327342.82859383302</v>
      </c>
      <c r="AK53" s="79">
        <v>327342.82859383302</v>
      </c>
      <c r="AL53" s="79">
        <v>218228.55239588866</v>
      </c>
      <c r="AM53" s="79">
        <v>327342.82859383302</v>
      </c>
      <c r="AN53" s="79">
        <v>0</v>
      </c>
      <c r="AO53" s="79">
        <v>0</v>
      </c>
      <c r="AP53" s="79">
        <v>0</v>
      </c>
      <c r="AQ53" s="79">
        <v>0</v>
      </c>
      <c r="AR53" s="79">
        <v>0</v>
      </c>
      <c r="AS53" s="79">
        <v>0</v>
      </c>
      <c r="AT53" s="79">
        <v>0</v>
      </c>
      <c r="AU53" s="79">
        <v>0</v>
      </c>
      <c r="AV53" s="79"/>
      <c r="AW53" s="79">
        <v>0</v>
      </c>
      <c r="AX53" s="79">
        <v>109114.27619794433</v>
      </c>
      <c r="AY53" s="79">
        <v>218228.55239588866</v>
      </c>
      <c r="AZ53" s="79">
        <v>436457.10479177732</v>
      </c>
      <c r="BA53" s="79">
        <v>34402.626384927571</v>
      </c>
      <c r="BB53" s="79">
        <v>0</v>
      </c>
      <c r="BC53" s="79">
        <v>0</v>
      </c>
      <c r="BD53" s="79">
        <v>0</v>
      </c>
      <c r="BE53" s="79">
        <v>0</v>
      </c>
      <c r="BF53" s="79">
        <v>0</v>
      </c>
      <c r="BG53" s="79">
        <f>29930-BL53</f>
        <v>18332.900000000001</v>
      </c>
      <c r="BH53" s="79">
        <v>28060</v>
      </c>
      <c r="BI53" s="79">
        <v>6734</v>
      </c>
      <c r="BJ53" s="79"/>
      <c r="BK53" s="79">
        <v>0</v>
      </c>
      <c r="BL53" s="79">
        <v>11597.1</v>
      </c>
      <c r="BM53" s="79">
        <v>154501.47</v>
      </c>
      <c r="BN53" s="79">
        <v>2458.52</v>
      </c>
      <c r="BO53" s="79">
        <v>0</v>
      </c>
      <c r="BP53" s="79">
        <v>0</v>
      </c>
      <c r="BQ53" s="79">
        <v>0</v>
      </c>
      <c r="BR53" s="79">
        <v>0</v>
      </c>
      <c r="BS53" s="79">
        <v>0</v>
      </c>
      <c r="BT53" s="79">
        <v>0</v>
      </c>
      <c r="BU53" s="79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80">
        <v>0</v>
      </c>
      <c r="CC53" s="80">
        <v>0</v>
      </c>
      <c r="CD53" s="79">
        <v>0</v>
      </c>
      <c r="CE53" s="79">
        <v>0</v>
      </c>
      <c r="CF53" s="79">
        <v>0</v>
      </c>
      <c r="CG53" s="79">
        <v>0</v>
      </c>
      <c r="CH53" s="79">
        <v>0</v>
      </c>
      <c r="CI53" s="79">
        <v>0</v>
      </c>
      <c r="CJ53" s="79">
        <v>0</v>
      </c>
      <c r="CK53" s="79">
        <v>0</v>
      </c>
      <c r="CL53" s="79">
        <v>0</v>
      </c>
      <c r="CM53" s="79">
        <v>54082.8</v>
      </c>
      <c r="CN53" s="79">
        <v>0</v>
      </c>
      <c r="CO53" s="79">
        <v>0</v>
      </c>
      <c r="CP53" s="79">
        <v>0</v>
      </c>
      <c r="CQ53" s="79">
        <v>12570.777202072539</v>
      </c>
      <c r="CR53" s="79">
        <v>239760</v>
      </c>
      <c r="CS53" s="79">
        <v>22155.429648241206</v>
      </c>
      <c r="CT53" s="79"/>
      <c r="CU53" s="79">
        <v>0</v>
      </c>
      <c r="CV53" s="79"/>
      <c r="CW53" s="79">
        <v>0</v>
      </c>
      <c r="CX53" s="79">
        <v>0</v>
      </c>
      <c r="CY53" s="79">
        <v>0</v>
      </c>
      <c r="CZ53" s="79">
        <v>0</v>
      </c>
      <c r="DA53" s="79">
        <v>37900</v>
      </c>
      <c r="DB53" s="79">
        <v>75170.74481596284</v>
      </c>
      <c r="DC53" s="82">
        <v>0</v>
      </c>
      <c r="DD53" s="79">
        <v>15363.214285714286</v>
      </c>
      <c r="DE53" s="79"/>
      <c r="DF53" s="79">
        <v>29100</v>
      </c>
      <c r="DG53" s="79">
        <v>0</v>
      </c>
      <c r="DH53" s="83">
        <v>0</v>
      </c>
      <c r="DI53" s="79">
        <v>13554.135401561791</v>
      </c>
      <c r="DJ53" s="79">
        <v>5137017.3171919174</v>
      </c>
      <c r="DK53" s="84">
        <v>2.8080828487873077E-3</v>
      </c>
      <c r="DL53" s="84">
        <v>0</v>
      </c>
      <c r="DM53" s="84">
        <f t="shared" si="16"/>
        <v>5137017.32</v>
      </c>
      <c r="DN53" s="84">
        <f>'[7]FY20 Initial Budget Alloca FTE'!F53*DN$1</f>
        <v>690091.67067357514</v>
      </c>
      <c r="DO53" s="81">
        <f t="shared" si="0"/>
        <v>53126.9</v>
      </c>
      <c r="DP53" s="81">
        <f t="shared" si="17"/>
        <v>281430.77720207255</v>
      </c>
      <c r="DQ53" s="74">
        <f t="shared" si="18"/>
        <v>355533.99347150256</v>
      </c>
      <c r="DR53" s="85">
        <f t="shared" si="36"/>
        <v>0.51519821000661814</v>
      </c>
      <c r="DS53" s="81">
        <f t="shared" si="19"/>
        <v>3410719.9824620904</v>
      </c>
      <c r="DT53" s="81">
        <f t="shared" si="1"/>
        <v>798202.55977053789</v>
      </c>
      <c r="DU53" s="81">
        <f t="shared" si="2"/>
        <v>0</v>
      </c>
      <c r="DV53" s="81">
        <f t="shared" si="34"/>
        <v>168557.09</v>
      </c>
      <c r="DW53" s="81">
        <f t="shared" si="29"/>
        <v>15363.214285714286</v>
      </c>
      <c r="DX53" s="81">
        <f t="shared" si="30"/>
        <v>0</v>
      </c>
      <c r="DY53" s="81">
        <f t="shared" si="31"/>
        <v>0</v>
      </c>
      <c r="DZ53" s="81">
        <f t="shared" si="32"/>
        <v>54082.8</v>
      </c>
      <c r="EA53" s="74">
        <f t="shared" si="8"/>
        <v>355533.99347150256</v>
      </c>
      <c r="EB53" s="81">
        <f t="shared" si="33"/>
        <v>53126.9</v>
      </c>
      <c r="EC53" s="81">
        <f t="shared" si="33"/>
        <v>281430.77720207255</v>
      </c>
      <c r="ED53" s="86">
        <f t="shared" si="20"/>
        <v>0.51519821000661814</v>
      </c>
      <c r="EE53" s="81">
        <f t="shared" si="21"/>
        <v>690091.67067357514</v>
      </c>
      <c r="EF53" s="81">
        <f t="shared" si="22"/>
        <v>5137017.3171919174</v>
      </c>
      <c r="EG53" s="81">
        <f t="shared" si="10"/>
        <v>0</v>
      </c>
      <c r="EH53" s="81">
        <v>4596985.5763569996</v>
      </c>
      <c r="EI53" s="84">
        <f t="shared" si="35"/>
        <v>5082934.5171919176</v>
      </c>
      <c r="EJ53" s="74">
        <f t="shared" si="12"/>
        <v>540031.74083491787</v>
      </c>
      <c r="EK53" s="74">
        <f t="shared" si="13"/>
        <v>485948.94083491806</v>
      </c>
      <c r="EM53" s="88">
        <f t="shared" si="14"/>
        <v>379</v>
      </c>
      <c r="EN53" s="74">
        <v>326</v>
      </c>
      <c r="EO53" s="74">
        <f t="shared" si="15"/>
        <v>53</v>
      </c>
      <c r="EP53" s="72">
        <v>343</v>
      </c>
      <c r="EQ53" s="74">
        <f t="shared" si="23"/>
        <v>17</v>
      </c>
      <c r="ER53" s="72">
        <v>315</v>
      </c>
      <c r="ES53" s="74">
        <f t="shared" si="24"/>
        <v>64</v>
      </c>
      <c r="ET53" s="74"/>
      <c r="EU53" s="74"/>
      <c r="EV53" s="74"/>
      <c r="EW53" s="89"/>
      <c r="EX53" s="81">
        <f t="shared" si="26"/>
        <v>4482357.2612399282</v>
      </c>
      <c r="EY53" s="81">
        <f t="shared" si="27"/>
        <v>654660.05595199089</v>
      </c>
    </row>
    <row r="54" spans="1:155" x14ac:dyDescent="0.25">
      <c r="A54" s="76">
        <v>344</v>
      </c>
      <c r="B54" s="76" t="s">
        <v>193</v>
      </c>
      <c r="C54" s="77" t="s">
        <v>135</v>
      </c>
      <c r="D54" s="41">
        <v>8</v>
      </c>
      <c r="E54" s="78">
        <v>279</v>
      </c>
      <c r="F54" s="78">
        <v>252.95384615384617</v>
      </c>
      <c r="G54" s="79">
        <v>173177.12015668923</v>
      </c>
      <c r="H54" s="79">
        <v>109114.27619794433</v>
      </c>
      <c r="I54" s="79">
        <v>0</v>
      </c>
      <c r="J54" s="79">
        <v>0</v>
      </c>
      <c r="K54" s="79">
        <v>0</v>
      </c>
      <c r="L54" s="79">
        <v>40788.660078344612</v>
      </c>
      <c r="M54" s="79">
        <v>59319.676384927567</v>
      </c>
      <c r="N54" s="79">
        <v>0</v>
      </c>
      <c r="O54" s="79">
        <v>0</v>
      </c>
      <c r="P54" s="79">
        <v>0</v>
      </c>
      <c r="Q54" s="79"/>
      <c r="R54" s="79">
        <v>69375.836746740591</v>
      </c>
      <c r="S54" s="79">
        <v>54629.386746740587</v>
      </c>
      <c r="T54" s="79">
        <v>48958.736746740586</v>
      </c>
      <c r="U54" s="79">
        <v>54557.138098972166</v>
      </c>
      <c r="V54" s="79">
        <v>109114.27619794433</v>
      </c>
      <c r="W54" s="79">
        <v>109114.27619794433</v>
      </c>
      <c r="X54" s="79">
        <v>109114.27619794433</v>
      </c>
      <c r="Y54" s="79">
        <v>0</v>
      </c>
      <c r="Z54" s="79"/>
      <c r="AA54" s="79">
        <v>218228.55239588866</v>
      </c>
      <c r="AB54" s="79">
        <v>68805.252769855142</v>
      </c>
      <c r="AC54" s="79">
        <v>0</v>
      </c>
      <c r="AD54" s="79">
        <v>0</v>
      </c>
      <c r="AE54" s="79">
        <v>327342.82859383302</v>
      </c>
      <c r="AF54" s="79">
        <v>103207.87915478271</v>
      </c>
      <c r="AG54" s="79">
        <v>218228.55239588866</v>
      </c>
      <c r="AH54" s="79">
        <v>68805.252769855142</v>
      </c>
      <c r="AI54" s="79">
        <v>218228.55239588866</v>
      </c>
      <c r="AJ54" s="79">
        <v>218228.55239588866</v>
      </c>
      <c r="AK54" s="79">
        <v>218228.55239588866</v>
      </c>
      <c r="AL54" s="79">
        <v>218228.55239588866</v>
      </c>
      <c r="AM54" s="79">
        <v>218228.55239588866</v>
      </c>
      <c r="AN54" s="79">
        <v>0</v>
      </c>
      <c r="AO54" s="79">
        <v>0</v>
      </c>
      <c r="AP54" s="79">
        <v>0</v>
      </c>
      <c r="AQ54" s="79">
        <v>0</v>
      </c>
      <c r="AR54" s="79">
        <v>0</v>
      </c>
      <c r="AS54" s="79">
        <v>0</v>
      </c>
      <c r="AT54" s="79">
        <v>0</v>
      </c>
      <c r="AU54" s="79">
        <v>0</v>
      </c>
      <c r="AV54" s="79"/>
      <c r="AW54" s="79">
        <v>0</v>
      </c>
      <c r="AX54" s="79">
        <v>109114.27619794433</v>
      </c>
      <c r="AY54" s="79">
        <v>109114.27619794433</v>
      </c>
      <c r="AZ54" s="79">
        <v>327342.82859383302</v>
      </c>
      <c r="BA54" s="79">
        <v>0</v>
      </c>
      <c r="BB54" s="79">
        <v>0</v>
      </c>
      <c r="BC54" s="79">
        <v>0</v>
      </c>
      <c r="BD54" s="79">
        <v>14879.219481537863</v>
      </c>
      <c r="BE54" s="79">
        <v>0</v>
      </c>
      <c r="BF54" s="79">
        <v>0</v>
      </c>
      <c r="BG54" s="79">
        <f>23944-BL54</f>
        <v>12346.9</v>
      </c>
      <c r="BH54" s="79">
        <v>22448</v>
      </c>
      <c r="BI54" s="79">
        <v>6734</v>
      </c>
      <c r="BJ54" s="79"/>
      <c r="BK54" s="79">
        <v>0</v>
      </c>
      <c r="BL54" s="79">
        <v>11597.1</v>
      </c>
      <c r="BM54" s="79">
        <v>164009.25</v>
      </c>
      <c r="BN54" s="79">
        <v>2609.81</v>
      </c>
      <c r="BO54" s="79">
        <v>0</v>
      </c>
      <c r="BP54" s="79">
        <v>0</v>
      </c>
      <c r="BQ54" s="79">
        <v>0</v>
      </c>
      <c r="BR54" s="79">
        <v>0</v>
      </c>
      <c r="BS54" s="79">
        <v>0</v>
      </c>
      <c r="BT54" s="79">
        <v>0</v>
      </c>
      <c r="BU54" s="79">
        <v>140395.22015668923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80">
        <v>0</v>
      </c>
      <c r="CC54" s="80">
        <v>0</v>
      </c>
      <c r="CD54" s="79">
        <v>0</v>
      </c>
      <c r="CE54" s="79">
        <v>0</v>
      </c>
      <c r="CF54" s="79">
        <v>0</v>
      </c>
      <c r="CG54" s="79">
        <v>0</v>
      </c>
      <c r="CH54" s="79">
        <v>0</v>
      </c>
      <c r="CI54" s="79">
        <v>0</v>
      </c>
      <c r="CJ54" s="79">
        <v>0</v>
      </c>
      <c r="CK54" s="79">
        <v>0</v>
      </c>
      <c r="CL54" s="79">
        <v>0</v>
      </c>
      <c r="CM54" s="79">
        <v>57070.8</v>
      </c>
      <c r="CN54" s="79">
        <v>0</v>
      </c>
      <c r="CO54" s="79">
        <v>0</v>
      </c>
      <c r="CP54" s="79">
        <v>0</v>
      </c>
      <c r="CQ54" s="79">
        <v>10118.153846153848</v>
      </c>
      <c r="CR54" s="79">
        <v>0</v>
      </c>
      <c r="CS54" s="79">
        <v>16092.43918918919</v>
      </c>
      <c r="CT54" s="79"/>
      <c r="CU54" s="79">
        <v>0</v>
      </c>
      <c r="CV54" s="79"/>
      <c r="CW54" s="79">
        <v>0</v>
      </c>
      <c r="CX54" s="79">
        <v>0</v>
      </c>
      <c r="CY54" s="79">
        <v>0</v>
      </c>
      <c r="CZ54" s="79">
        <v>0</v>
      </c>
      <c r="DA54" s="79">
        <v>27900</v>
      </c>
      <c r="DB54" s="79">
        <v>57854.952978535992</v>
      </c>
      <c r="DC54" s="82">
        <v>0</v>
      </c>
      <c r="DD54" s="79">
        <v>0</v>
      </c>
      <c r="DE54" s="79"/>
      <c r="DF54" s="79">
        <v>21600</v>
      </c>
      <c r="DG54" s="79">
        <v>0</v>
      </c>
      <c r="DH54" s="83"/>
      <c r="DI54" s="79">
        <v>14853.949700545903</v>
      </c>
      <c r="DJ54" s="79">
        <v>4144251.9664523066</v>
      </c>
      <c r="DK54" s="84">
        <v>218228.0335476934</v>
      </c>
      <c r="DL54" s="84">
        <v>362134.27</v>
      </c>
      <c r="DM54" s="84">
        <f t="shared" si="16"/>
        <v>4724614.2699999996</v>
      </c>
      <c r="DN54" s="84">
        <f>'[7]FY20 Initial Budget Alloca FTE'!F54*DN$1</f>
        <v>555451.23261538474</v>
      </c>
      <c r="DO54" s="81">
        <f t="shared" si="0"/>
        <v>41528.9</v>
      </c>
      <c r="DP54" s="81">
        <f t="shared" si="17"/>
        <v>172113.37400284308</v>
      </c>
      <c r="DQ54" s="74">
        <f t="shared" si="18"/>
        <v>341808.95861254167</v>
      </c>
      <c r="DR54" s="85">
        <f t="shared" si="36"/>
        <v>0.61537168079204352</v>
      </c>
      <c r="DS54" s="81">
        <f t="shared" si="19"/>
        <v>2793063.1733656623</v>
      </c>
      <c r="DT54" s="81">
        <f t="shared" si="1"/>
        <v>545571.38098972174</v>
      </c>
      <c r="DU54" s="81">
        <f t="shared" si="2"/>
        <v>14879.219481537863</v>
      </c>
      <c r="DV54" s="81">
        <f t="shared" si="34"/>
        <v>178216.16</v>
      </c>
      <c r="DW54" s="81">
        <f t="shared" si="29"/>
        <v>0</v>
      </c>
      <c r="DX54" s="81">
        <f t="shared" si="30"/>
        <v>0</v>
      </c>
      <c r="DY54" s="81">
        <f t="shared" si="31"/>
        <v>0</v>
      </c>
      <c r="DZ54" s="81">
        <f t="shared" si="32"/>
        <v>57070.8</v>
      </c>
      <c r="EA54" s="74">
        <f t="shared" si="8"/>
        <v>341808.95861254167</v>
      </c>
      <c r="EB54" s="81">
        <f t="shared" si="33"/>
        <v>41528.9</v>
      </c>
      <c r="EC54" s="81">
        <f t="shared" si="33"/>
        <v>172113.37400284308</v>
      </c>
      <c r="ED54" s="86">
        <f t="shared" si="20"/>
        <v>0.61537168079204352</v>
      </c>
      <c r="EE54" s="81">
        <f t="shared" si="21"/>
        <v>555451.23261538474</v>
      </c>
      <c r="EF54" s="81">
        <f t="shared" si="22"/>
        <v>4144251.9664523066</v>
      </c>
      <c r="EG54" s="81">
        <f t="shared" si="10"/>
        <v>0</v>
      </c>
      <c r="EH54" s="81">
        <v>5188278.308988722</v>
      </c>
      <c r="EI54" s="84">
        <f t="shared" si="35"/>
        <v>4087181.1664523068</v>
      </c>
      <c r="EJ54" s="74">
        <f t="shared" si="12"/>
        <v>-1044026.3425364154</v>
      </c>
      <c r="EK54" s="74">
        <f t="shared" si="13"/>
        <v>-1101097.1425364153</v>
      </c>
      <c r="EM54" s="88">
        <f t="shared" si="14"/>
        <v>279</v>
      </c>
      <c r="EN54" s="74">
        <v>338</v>
      </c>
      <c r="EO54" s="74">
        <f t="shared" si="15"/>
        <v>-59</v>
      </c>
      <c r="EP54" s="90">
        <v>295</v>
      </c>
      <c r="EQ54" s="74">
        <f t="shared" si="23"/>
        <v>-43</v>
      </c>
      <c r="ER54" s="72">
        <v>343</v>
      </c>
      <c r="ES54" s="74">
        <f t="shared" si="24"/>
        <v>-64</v>
      </c>
      <c r="ET54" s="74"/>
      <c r="EU54" s="74"/>
      <c r="EV54" s="74"/>
      <c r="EW54" s="89"/>
      <c r="EX54" s="81">
        <f t="shared" si="26"/>
        <v>3775399.4604384275</v>
      </c>
      <c r="EY54" s="81">
        <f t="shared" si="27"/>
        <v>368852.50601387909</v>
      </c>
    </row>
    <row r="55" spans="1:155" x14ac:dyDescent="0.25">
      <c r="A55" s="76">
        <v>417</v>
      </c>
      <c r="B55" s="76" t="s">
        <v>194</v>
      </c>
      <c r="C55" s="77" t="s">
        <v>152</v>
      </c>
      <c r="D55" s="41">
        <v>8</v>
      </c>
      <c r="E55" s="78">
        <v>224</v>
      </c>
      <c r="F55" s="78">
        <v>207.33980582524271</v>
      </c>
      <c r="G55" s="79">
        <v>173177.12015668923</v>
      </c>
      <c r="H55" s="79">
        <v>109114.27619794433</v>
      </c>
      <c r="I55" s="79">
        <v>98276.654109682451</v>
      </c>
      <c r="J55" s="79">
        <v>109114.27619794433</v>
      </c>
      <c r="K55" s="79">
        <v>0</v>
      </c>
      <c r="L55" s="79">
        <v>40788.660078344612</v>
      </c>
      <c r="M55" s="79">
        <v>59319.676384927567</v>
      </c>
      <c r="N55" s="79">
        <v>0</v>
      </c>
      <c r="O55" s="79">
        <v>0</v>
      </c>
      <c r="P55" s="79">
        <f>62573.5867467406-Q55</f>
        <v>0</v>
      </c>
      <c r="Q55" s="79">
        <v>62573.586746740584</v>
      </c>
      <c r="R55" s="79">
        <v>69375.836746740591</v>
      </c>
      <c r="S55" s="79">
        <v>54629.386746740587</v>
      </c>
      <c r="T55" s="79">
        <v>146876.21024022176</v>
      </c>
      <c r="U55" s="79">
        <v>54557.138098972166</v>
      </c>
      <c r="V55" s="79">
        <v>0</v>
      </c>
      <c r="W55" s="79">
        <v>0</v>
      </c>
      <c r="X55" s="79">
        <v>0</v>
      </c>
      <c r="Y55" s="79">
        <v>0</v>
      </c>
      <c r="Z55" s="79"/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0</v>
      </c>
      <c r="AI55" s="79">
        <v>0</v>
      </c>
      <c r="AJ55" s="79">
        <v>0</v>
      </c>
      <c r="AK55" s="79">
        <v>0</v>
      </c>
      <c r="AL55" s="79">
        <v>0</v>
      </c>
      <c r="AM55" s="79">
        <v>0</v>
      </c>
      <c r="AN55" s="79">
        <v>360077.11145321629</v>
      </c>
      <c r="AO55" s="79">
        <v>403722.82193239406</v>
      </c>
      <c r="AP55" s="79">
        <v>349165.68383342191</v>
      </c>
      <c r="AQ55" s="79">
        <v>0</v>
      </c>
      <c r="AR55" s="79">
        <v>0</v>
      </c>
      <c r="AS55" s="79">
        <v>0</v>
      </c>
      <c r="AT55" s="79">
        <v>0</v>
      </c>
      <c r="AU55" s="79">
        <v>0</v>
      </c>
      <c r="AV55" s="79"/>
      <c r="AW55" s="79">
        <v>0</v>
      </c>
      <c r="AX55" s="79">
        <v>109114.27619794433</v>
      </c>
      <c r="AY55" s="79">
        <v>327342.82859383302</v>
      </c>
      <c r="AZ55" s="79">
        <v>654685.65718766605</v>
      </c>
      <c r="BA55" s="79">
        <v>68805.252769855142</v>
      </c>
      <c r="BB55" s="79">
        <v>96126.952769855139</v>
      </c>
      <c r="BC55" s="79">
        <v>0</v>
      </c>
      <c r="BD55" s="79">
        <v>9919.4796543585762</v>
      </c>
      <c r="BE55" s="79">
        <v>0</v>
      </c>
      <c r="BF55" s="79">
        <v>0</v>
      </c>
      <c r="BG55" s="79">
        <v>0</v>
      </c>
      <c r="BH55" s="79">
        <v>0</v>
      </c>
      <c r="BI55" s="79">
        <v>0</v>
      </c>
      <c r="BJ55" s="79"/>
      <c r="BK55" s="79">
        <v>0</v>
      </c>
      <c r="BL55" s="79"/>
      <c r="BM55" s="79">
        <v>92225.49</v>
      </c>
      <c r="BN55" s="79">
        <v>1467.55</v>
      </c>
      <c r="BO55" s="79">
        <v>0</v>
      </c>
      <c r="BP55" s="79">
        <v>0</v>
      </c>
      <c r="BQ55" s="79">
        <v>0</v>
      </c>
      <c r="BR55" s="79">
        <v>140395.22015668923</v>
      </c>
      <c r="BS55" s="79">
        <v>0</v>
      </c>
      <c r="BT55" s="79">
        <v>0</v>
      </c>
      <c r="BU55" s="79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80">
        <v>0</v>
      </c>
      <c r="CC55" s="80">
        <v>0</v>
      </c>
      <c r="CD55" s="79">
        <v>0</v>
      </c>
      <c r="CE55" s="79">
        <v>0</v>
      </c>
      <c r="CF55" s="79">
        <v>0</v>
      </c>
      <c r="CG55" s="79">
        <v>0</v>
      </c>
      <c r="CH55" s="79">
        <v>0</v>
      </c>
      <c r="CI55" s="79">
        <v>218228.55239588866</v>
      </c>
      <c r="CJ55" s="79">
        <v>0</v>
      </c>
      <c r="CK55" s="79">
        <v>23000</v>
      </c>
      <c r="CL55" s="79">
        <v>5000</v>
      </c>
      <c r="CM55" s="79">
        <v>295048.09999999998</v>
      </c>
      <c r="CN55" s="79">
        <v>100000</v>
      </c>
      <c r="CO55" s="79">
        <v>0</v>
      </c>
      <c r="CP55" s="79">
        <v>75000</v>
      </c>
      <c r="CQ55" s="79">
        <v>8293.5922330097092</v>
      </c>
      <c r="CR55" s="79">
        <v>0</v>
      </c>
      <c r="CS55" s="79">
        <v>18927.466666666667</v>
      </c>
      <c r="CT55" s="79"/>
      <c r="CU55" s="79">
        <v>0</v>
      </c>
      <c r="CV55" s="79"/>
      <c r="CW55" s="79">
        <v>0</v>
      </c>
      <c r="CX55" s="79">
        <v>0</v>
      </c>
      <c r="CY55" s="79">
        <v>0</v>
      </c>
      <c r="CZ55" s="79">
        <v>0</v>
      </c>
      <c r="DA55" s="79">
        <v>22400</v>
      </c>
      <c r="DB55" s="79">
        <v>61427.725204266135</v>
      </c>
      <c r="DC55" s="82">
        <v>0</v>
      </c>
      <c r="DD55" s="79">
        <v>0</v>
      </c>
      <c r="DE55" s="79"/>
      <c r="DF55" s="79">
        <v>51800</v>
      </c>
      <c r="DG55" s="79">
        <v>0</v>
      </c>
      <c r="DH55" s="83">
        <v>33793.388606871245</v>
      </c>
      <c r="DI55" s="79">
        <v>20106.115943575383</v>
      </c>
      <c r="DJ55" s="79">
        <v>4503769.9713608846</v>
      </c>
      <c r="DK55" s="84">
        <v>0.18863911554217339</v>
      </c>
      <c r="DL55" s="84">
        <v>95614.15</v>
      </c>
      <c r="DM55" s="84">
        <f t="shared" si="16"/>
        <v>4599384.3100000005</v>
      </c>
      <c r="DN55" s="84">
        <f>'[7]FY20 Initial Budget Alloca FTE'!F55*DN$1</f>
        <v>455289.18601941748</v>
      </c>
      <c r="DO55" s="81">
        <f t="shared" si="0"/>
        <v>0</v>
      </c>
      <c r="DP55" s="81">
        <f t="shared" si="17"/>
        <v>338062.39913643949</v>
      </c>
      <c r="DQ55" s="74">
        <f t="shared" si="18"/>
        <v>117226.78688297799</v>
      </c>
      <c r="DR55" s="85">
        <f t="shared" si="36"/>
        <v>0.25747764384190408</v>
      </c>
      <c r="DS55" s="81">
        <f t="shared" si="19"/>
        <v>2359951.8095610836</v>
      </c>
      <c r="DT55" s="81">
        <f t="shared" si="1"/>
        <v>1256074.9675191536</v>
      </c>
      <c r="DU55" s="81">
        <f t="shared" si="2"/>
        <v>9919.4796543585762</v>
      </c>
      <c r="DV55" s="81">
        <f t="shared" si="34"/>
        <v>93693.040000000008</v>
      </c>
      <c r="DW55" s="81">
        <f t="shared" si="29"/>
        <v>0</v>
      </c>
      <c r="DX55" s="81">
        <f t="shared" si="30"/>
        <v>0</v>
      </c>
      <c r="DY55" s="81">
        <f t="shared" si="31"/>
        <v>33793.388606871245</v>
      </c>
      <c r="DZ55" s="81">
        <f t="shared" si="32"/>
        <v>295048.09999999998</v>
      </c>
      <c r="EA55" s="74">
        <f t="shared" si="8"/>
        <v>117226.78688297799</v>
      </c>
      <c r="EB55" s="81">
        <f t="shared" si="33"/>
        <v>0</v>
      </c>
      <c r="EC55" s="81">
        <f t="shared" si="33"/>
        <v>338062.39913643949</v>
      </c>
      <c r="ED55" s="86">
        <f t="shared" si="20"/>
        <v>0.25747764384190408</v>
      </c>
      <c r="EE55" s="81">
        <f t="shared" si="21"/>
        <v>455289.18601941748</v>
      </c>
      <c r="EF55" s="81">
        <f t="shared" si="22"/>
        <v>4503769.9713608846</v>
      </c>
      <c r="EG55" s="81">
        <f t="shared" si="10"/>
        <v>0</v>
      </c>
      <c r="EH55" s="81">
        <v>4466368.4553122437</v>
      </c>
      <c r="EI55" s="84">
        <f t="shared" si="35"/>
        <v>4208721.871360885</v>
      </c>
      <c r="EJ55" s="74">
        <f t="shared" si="12"/>
        <v>37401.516048640944</v>
      </c>
      <c r="EK55" s="74">
        <f t="shared" si="13"/>
        <v>-257646.58395135868</v>
      </c>
      <c r="EM55" s="88">
        <f t="shared" si="14"/>
        <v>224</v>
      </c>
      <c r="EN55" s="74">
        <v>193</v>
      </c>
      <c r="EO55" s="74">
        <f t="shared" si="15"/>
        <v>31</v>
      </c>
      <c r="EP55" s="72">
        <v>208</v>
      </c>
      <c r="EQ55" s="74">
        <f t="shared" si="23"/>
        <v>15</v>
      </c>
      <c r="ER55" s="72">
        <v>195</v>
      </c>
      <c r="ES55" s="74">
        <f t="shared" si="24"/>
        <v>29</v>
      </c>
      <c r="ET55" s="74"/>
      <c r="EU55" s="74"/>
      <c r="EV55" s="74"/>
      <c r="EW55" s="89"/>
      <c r="EX55" s="81">
        <f t="shared" si="26"/>
        <v>3715386.6586500709</v>
      </c>
      <c r="EY55" s="81">
        <f t="shared" si="27"/>
        <v>788383.31271081383</v>
      </c>
    </row>
    <row r="56" spans="1:155" x14ac:dyDescent="0.25">
      <c r="A56" s="76">
        <v>261</v>
      </c>
      <c r="B56" s="76" t="s">
        <v>195</v>
      </c>
      <c r="C56" s="77" t="s">
        <v>135</v>
      </c>
      <c r="D56" s="41">
        <v>4</v>
      </c>
      <c r="E56" s="78">
        <v>931</v>
      </c>
      <c r="F56" s="78">
        <v>33</v>
      </c>
      <c r="G56" s="79">
        <v>173177.12015668923</v>
      </c>
      <c r="H56" s="79">
        <v>109114.27619794433</v>
      </c>
      <c r="I56" s="79">
        <v>322909.00636038522</v>
      </c>
      <c r="J56" s="79">
        <v>0</v>
      </c>
      <c r="K56" s="79">
        <v>0</v>
      </c>
      <c r="L56" s="79">
        <v>81577.320156689224</v>
      </c>
      <c r="M56" s="79">
        <v>59319.676384927567</v>
      </c>
      <c r="N56" s="79">
        <v>102661.25068533341</v>
      </c>
      <c r="O56" s="79">
        <v>0</v>
      </c>
      <c r="P56" s="79">
        <v>0</v>
      </c>
      <c r="Q56" s="79"/>
      <c r="R56" s="79">
        <v>69375.836746740591</v>
      </c>
      <c r="S56" s="79">
        <v>54629.386746740587</v>
      </c>
      <c r="T56" s="79">
        <v>195834.94698696234</v>
      </c>
      <c r="U56" s="79">
        <v>109114.27619794433</v>
      </c>
      <c r="V56" s="79">
        <v>109114.27619794433</v>
      </c>
      <c r="W56" s="79">
        <v>109114.27619794433</v>
      </c>
      <c r="X56" s="79">
        <v>109114.27619794433</v>
      </c>
      <c r="Y56" s="79">
        <f>491014.242890749-Z56</f>
        <v>381899.96669280471</v>
      </c>
      <c r="Z56" s="79">
        <f>1*Z$121</f>
        <v>109114.27619794433</v>
      </c>
      <c r="AA56" s="79">
        <v>0</v>
      </c>
      <c r="AB56" s="79">
        <v>0</v>
      </c>
      <c r="AC56" s="79">
        <v>0</v>
      </c>
      <c r="AD56" s="79">
        <v>0</v>
      </c>
      <c r="AE56" s="79">
        <v>436457.10479177732</v>
      </c>
      <c r="AF56" s="79">
        <v>137610.50553971028</v>
      </c>
      <c r="AG56" s="79">
        <v>654685.65718766605</v>
      </c>
      <c r="AH56" s="79">
        <v>206415.75830956543</v>
      </c>
      <c r="AI56" s="79">
        <v>763799.93338561035</v>
      </c>
      <c r="AJ56" s="79">
        <v>654685.65718766605</v>
      </c>
      <c r="AK56" s="79">
        <v>654685.65718766605</v>
      </c>
      <c r="AL56" s="79">
        <v>545571.38098972163</v>
      </c>
      <c r="AM56" s="79">
        <v>545571.38098972163</v>
      </c>
      <c r="AN56" s="79">
        <v>0</v>
      </c>
      <c r="AO56" s="79">
        <v>0</v>
      </c>
      <c r="AP56" s="79">
        <v>0</v>
      </c>
      <c r="AQ56" s="79">
        <v>0</v>
      </c>
      <c r="AR56" s="79">
        <v>0</v>
      </c>
      <c r="AS56" s="79">
        <v>0</v>
      </c>
      <c r="AT56" s="79">
        <v>0</v>
      </c>
      <c r="AU56" s="79">
        <v>0</v>
      </c>
      <c r="AV56" s="79"/>
      <c r="AW56" s="79">
        <v>0</v>
      </c>
      <c r="AX56" s="79">
        <v>109114.27619794433</v>
      </c>
      <c r="AY56" s="79">
        <v>218228.55239588866</v>
      </c>
      <c r="AZ56" s="79">
        <v>654685.65718766605</v>
      </c>
      <c r="BA56" s="79">
        <v>103207.87915478271</v>
      </c>
      <c r="BB56" s="79">
        <v>0</v>
      </c>
      <c r="BC56" s="79">
        <v>0</v>
      </c>
      <c r="BD56" s="79">
        <v>327342.82859383302</v>
      </c>
      <c r="BE56" s="79">
        <v>0</v>
      </c>
      <c r="BF56" s="79">
        <v>0</v>
      </c>
      <c r="BG56" s="79">
        <v>0</v>
      </c>
      <c r="BH56" s="79">
        <v>0</v>
      </c>
      <c r="BI56" s="79">
        <v>0</v>
      </c>
      <c r="BJ56" s="79"/>
      <c r="BK56" s="79">
        <v>0</v>
      </c>
      <c r="BL56" s="79"/>
      <c r="BM56" s="79">
        <v>0</v>
      </c>
      <c r="BN56" s="79">
        <v>0</v>
      </c>
      <c r="BO56" s="79">
        <v>20400</v>
      </c>
      <c r="BP56" s="79">
        <v>0</v>
      </c>
      <c r="BQ56" s="79">
        <v>0</v>
      </c>
      <c r="BR56" s="79">
        <v>0</v>
      </c>
      <c r="BS56" s="79">
        <v>0</v>
      </c>
      <c r="BT56" s="79">
        <v>0</v>
      </c>
      <c r="BU56" s="79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80">
        <v>0</v>
      </c>
      <c r="CC56" s="80">
        <v>0</v>
      </c>
      <c r="CD56" s="79">
        <v>0</v>
      </c>
      <c r="CE56" s="79">
        <v>0</v>
      </c>
      <c r="CF56" s="79">
        <v>0</v>
      </c>
      <c r="CG56" s="79">
        <v>0</v>
      </c>
      <c r="CH56" s="79">
        <v>0</v>
      </c>
      <c r="CI56" s="79">
        <v>0</v>
      </c>
      <c r="CJ56" s="79">
        <v>0</v>
      </c>
      <c r="CK56" s="79">
        <v>0</v>
      </c>
      <c r="CL56" s="79">
        <v>0</v>
      </c>
      <c r="CM56" s="79">
        <v>108165.6</v>
      </c>
      <c r="CN56" s="79">
        <v>0</v>
      </c>
      <c r="CO56" s="79">
        <v>0</v>
      </c>
      <c r="CP56" s="79">
        <v>0</v>
      </c>
      <c r="CQ56" s="79">
        <v>0</v>
      </c>
      <c r="CR56" s="79">
        <v>0</v>
      </c>
      <c r="CS56" s="79">
        <v>48277.391304347824</v>
      </c>
      <c r="CT56" s="79"/>
      <c r="CU56" s="79">
        <v>0</v>
      </c>
      <c r="CV56" s="79"/>
      <c r="CW56" s="79">
        <v>0</v>
      </c>
      <c r="CX56" s="79">
        <v>0</v>
      </c>
      <c r="CY56" s="79">
        <v>0</v>
      </c>
      <c r="CZ56" s="79">
        <v>0</v>
      </c>
      <c r="DA56" s="79">
        <v>93100</v>
      </c>
      <c r="DB56" s="79">
        <v>130540.93159498695</v>
      </c>
      <c r="DC56" s="82">
        <v>985000</v>
      </c>
      <c r="DD56" s="79">
        <v>0</v>
      </c>
      <c r="DE56" s="79"/>
      <c r="DF56" s="79">
        <v>3750</v>
      </c>
      <c r="DG56" s="79">
        <v>0</v>
      </c>
      <c r="DH56" s="83">
        <v>0</v>
      </c>
      <c r="DI56" s="79">
        <v>10201.252760583775</v>
      </c>
      <c r="DJ56" s="79">
        <v>9497366.3201034945</v>
      </c>
      <c r="DK56" s="84">
        <v>-1.0349415242671967E-4</v>
      </c>
      <c r="DL56" s="84">
        <v>0</v>
      </c>
      <c r="DM56" s="84">
        <f t="shared" si="16"/>
        <v>9497366.3200000003</v>
      </c>
      <c r="DN56" s="84">
        <f>'[7]FY20 Initial Budget Alloca FTE'!F56*DN$1</f>
        <v>72463.38</v>
      </c>
      <c r="DO56" s="81">
        <f t="shared" si="0"/>
        <v>0</v>
      </c>
      <c r="DP56" s="81">
        <f t="shared" si="17"/>
        <v>112864.27619794433</v>
      </c>
      <c r="DQ56" s="74">
        <f t="shared" si="18"/>
        <v>-40400.896197944327</v>
      </c>
      <c r="DR56" s="85">
        <f t="shared" si="36"/>
        <v>-0.55753535369098606</v>
      </c>
      <c r="DS56" s="81">
        <f t="shared" si="19"/>
        <v>6898758.1465733787</v>
      </c>
      <c r="DT56" s="81">
        <f t="shared" si="1"/>
        <v>1085236.3649362817</v>
      </c>
      <c r="DU56" s="81">
        <f t="shared" si="2"/>
        <v>327342.82859383302</v>
      </c>
      <c r="DV56" s="81">
        <f t="shared" si="34"/>
        <v>20400</v>
      </c>
      <c r="DW56" s="81">
        <f t="shared" si="29"/>
        <v>0</v>
      </c>
      <c r="DX56" s="81">
        <f t="shared" si="30"/>
        <v>985000</v>
      </c>
      <c r="DY56" s="81">
        <f t="shared" si="31"/>
        <v>0</v>
      </c>
      <c r="DZ56" s="81">
        <f t="shared" si="32"/>
        <v>108165.6</v>
      </c>
      <c r="EA56" s="74">
        <f t="shared" si="8"/>
        <v>-40400.896197944327</v>
      </c>
      <c r="EB56" s="81">
        <f t="shared" si="33"/>
        <v>0</v>
      </c>
      <c r="EC56" s="81">
        <f t="shared" si="33"/>
        <v>112864.27619794433</v>
      </c>
      <c r="ED56" s="86">
        <v>0</v>
      </c>
      <c r="EE56" s="81">
        <f t="shared" si="21"/>
        <v>72463.38</v>
      </c>
      <c r="EF56" s="81">
        <f t="shared" si="22"/>
        <v>9497366.3201034926</v>
      </c>
      <c r="EG56" s="81">
        <f t="shared" si="10"/>
        <v>0</v>
      </c>
      <c r="EH56" s="81">
        <v>8411015</v>
      </c>
      <c r="EI56" s="84">
        <f t="shared" si="35"/>
        <v>9389200.7201034948</v>
      </c>
      <c r="EJ56" s="74">
        <f t="shared" si="12"/>
        <v>1086351.3201034945</v>
      </c>
      <c r="EK56" s="74">
        <f t="shared" si="13"/>
        <v>978185.72010349482</v>
      </c>
      <c r="EM56" s="88">
        <f t="shared" si="14"/>
        <v>931</v>
      </c>
      <c r="EN56" s="74">
        <v>854</v>
      </c>
      <c r="EO56" s="74">
        <f t="shared" si="15"/>
        <v>77</v>
      </c>
      <c r="EP56" s="94">
        <v>887</v>
      </c>
      <c r="EQ56" s="74">
        <f t="shared" si="23"/>
        <v>33</v>
      </c>
      <c r="ER56" s="72">
        <v>871</v>
      </c>
      <c r="ES56" s="74">
        <f t="shared" si="24"/>
        <v>60</v>
      </c>
      <c r="ET56" s="74"/>
      <c r="EU56" s="74"/>
      <c r="EV56" s="74"/>
      <c r="EW56" s="89"/>
      <c r="EX56" s="81">
        <f t="shared" si="26"/>
        <v>8108132.3972041588</v>
      </c>
      <c r="EY56" s="81">
        <f t="shared" si="27"/>
        <v>1389233.9228993347</v>
      </c>
    </row>
    <row r="57" spans="1:155" x14ac:dyDescent="0.25">
      <c r="A57" s="76">
        <v>262</v>
      </c>
      <c r="B57" s="76" t="s">
        <v>196</v>
      </c>
      <c r="C57" s="77" t="s">
        <v>135</v>
      </c>
      <c r="D57" s="41">
        <v>5</v>
      </c>
      <c r="E57" s="78">
        <v>368</v>
      </c>
      <c r="F57" s="78">
        <v>219.30746268656719</v>
      </c>
      <c r="G57" s="79">
        <v>173177.12015668923</v>
      </c>
      <c r="H57" s="79">
        <v>109114.27619794433</v>
      </c>
      <c r="I57" s="79">
        <v>126355.69814102032</v>
      </c>
      <c r="J57" s="79">
        <v>0</v>
      </c>
      <c r="K57" s="79">
        <v>0</v>
      </c>
      <c r="L57" s="79">
        <v>81577.320156689224</v>
      </c>
      <c r="M57" s="79">
        <v>59319.676384927567</v>
      </c>
      <c r="N57" s="79">
        <v>0</v>
      </c>
      <c r="O57" s="79">
        <v>0</v>
      </c>
      <c r="P57" s="79">
        <v>0</v>
      </c>
      <c r="Q57" s="79"/>
      <c r="R57" s="79">
        <v>69375.836746740591</v>
      </c>
      <c r="S57" s="79">
        <v>54629.386746740587</v>
      </c>
      <c r="T57" s="79">
        <v>146876.21024022176</v>
      </c>
      <c r="U57" s="79">
        <v>109114.27619794433</v>
      </c>
      <c r="V57" s="79">
        <v>109114.27619794433</v>
      </c>
      <c r="W57" s="79">
        <v>109114.27619794433</v>
      </c>
      <c r="X57" s="79">
        <v>109114.27619794433</v>
      </c>
      <c r="Y57" s="79">
        <v>0</v>
      </c>
      <c r="Z57" s="79"/>
      <c r="AA57" s="79">
        <v>109114.27619794433</v>
      </c>
      <c r="AB57" s="79">
        <v>34402.626384927571</v>
      </c>
      <c r="AC57" s="79">
        <v>327342.82859383302</v>
      </c>
      <c r="AD57" s="79">
        <v>103207.87915478271</v>
      </c>
      <c r="AE57" s="79">
        <v>109114.27619794433</v>
      </c>
      <c r="AF57" s="79">
        <v>34402.626384927571</v>
      </c>
      <c r="AG57" s="79">
        <v>327342.82859383302</v>
      </c>
      <c r="AH57" s="79">
        <v>103207.87915478271</v>
      </c>
      <c r="AI57" s="79">
        <v>218228.55239588866</v>
      </c>
      <c r="AJ57" s="79">
        <v>327342.82859383302</v>
      </c>
      <c r="AK57" s="79">
        <v>218228.55239588866</v>
      </c>
      <c r="AL57" s="79">
        <v>327342.82859383302</v>
      </c>
      <c r="AM57" s="79">
        <v>218228.55239588866</v>
      </c>
      <c r="AN57" s="79">
        <v>0</v>
      </c>
      <c r="AO57" s="79">
        <v>0</v>
      </c>
      <c r="AP57" s="79">
        <v>0</v>
      </c>
      <c r="AQ57" s="79">
        <v>0</v>
      </c>
      <c r="AR57" s="79">
        <v>0</v>
      </c>
      <c r="AS57" s="79">
        <v>0</v>
      </c>
      <c r="AT57" s="79">
        <v>0</v>
      </c>
      <c r="AU57" s="79">
        <v>0</v>
      </c>
      <c r="AV57" s="79"/>
      <c r="AW57" s="79">
        <v>0</v>
      </c>
      <c r="AX57" s="79">
        <v>109114.27619794433</v>
      </c>
      <c r="AY57" s="79">
        <v>109114.27619794433</v>
      </c>
      <c r="AZ57" s="79">
        <v>436457.10479177732</v>
      </c>
      <c r="BA57" s="79">
        <v>137610.50553971028</v>
      </c>
      <c r="BB57" s="79">
        <v>0</v>
      </c>
      <c r="BC57" s="79">
        <v>0</v>
      </c>
      <c r="BD57" s="79">
        <v>109114.27619794433</v>
      </c>
      <c r="BE57" s="79">
        <v>0</v>
      </c>
      <c r="BF57" s="79">
        <v>0</v>
      </c>
      <c r="BG57" s="79">
        <f>35916-BL57</f>
        <v>12721.8</v>
      </c>
      <c r="BH57" s="79">
        <v>33672</v>
      </c>
      <c r="BI57" s="79">
        <v>0</v>
      </c>
      <c r="BJ57" s="79"/>
      <c r="BK57" s="79">
        <v>0</v>
      </c>
      <c r="BL57" s="79">
        <v>23194.2</v>
      </c>
      <c r="BM57" s="79">
        <v>152599.91</v>
      </c>
      <c r="BN57" s="79">
        <v>2428.2600000000002</v>
      </c>
      <c r="BO57" s="79">
        <v>0</v>
      </c>
      <c r="BP57" s="79">
        <v>0</v>
      </c>
      <c r="BQ57" s="79">
        <v>0</v>
      </c>
      <c r="BR57" s="79">
        <v>0</v>
      </c>
      <c r="BS57" s="79">
        <v>0</v>
      </c>
      <c r="BT57" s="79">
        <v>0</v>
      </c>
      <c r="BU57" s="79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80">
        <v>0</v>
      </c>
      <c r="CC57" s="80">
        <v>0</v>
      </c>
      <c r="CD57" s="79">
        <v>0</v>
      </c>
      <c r="CE57" s="79">
        <v>0</v>
      </c>
      <c r="CF57" s="79">
        <v>0</v>
      </c>
      <c r="CG57" s="79">
        <v>0</v>
      </c>
      <c r="CH57" s="79">
        <v>0</v>
      </c>
      <c r="CI57" s="79">
        <v>0</v>
      </c>
      <c r="CJ57" s="79">
        <v>0</v>
      </c>
      <c r="CK57" s="79">
        <v>0</v>
      </c>
      <c r="CL57" s="79">
        <v>0</v>
      </c>
      <c r="CM57" s="79">
        <v>54082.8</v>
      </c>
      <c r="CN57" s="79">
        <v>0</v>
      </c>
      <c r="CO57" s="79">
        <v>0</v>
      </c>
      <c r="CP57" s="79">
        <v>0</v>
      </c>
      <c r="CQ57" s="79">
        <v>4386.1492537313443</v>
      </c>
      <c r="CR57" s="79">
        <v>0</v>
      </c>
      <c r="CS57" s="79">
        <v>21459.52</v>
      </c>
      <c r="CT57" s="79"/>
      <c r="CU57" s="79">
        <v>0</v>
      </c>
      <c r="CV57" s="79"/>
      <c r="CW57" s="79">
        <v>0</v>
      </c>
      <c r="CX57" s="79">
        <v>0</v>
      </c>
      <c r="CY57" s="79">
        <v>0</v>
      </c>
      <c r="CZ57" s="79">
        <v>0</v>
      </c>
      <c r="DA57" s="79">
        <v>36800</v>
      </c>
      <c r="DB57" s="79">
        <v>74314.373616774697</v>
      </c>
      <c r="DC57" s="82">
        <v>0</v>
      </c>
      <c r="DD57" s="79">
        <v>0</v>
      </c>
      <c r="DE57" s="79"/>
      <c r="DF57" s="79">
        <v>8200</v>
      </c>
      <c r="DG57" s="79">
        <v>0</v>
      </c>
      <c r="DH57" s="83">
        <v>0</v>
      </c>
      <c r="DI57" s="79">
        <v>13694.72450107849</v>
      </c>
      <c r="DJ57" s="79">
        <v>5039658.6163968844</v>
      </c>
      <c r="DK57" s="84">
        <v>19124.383603115566</v>
      </c>
      <c r="DL57" s="84">
        <v>0</v>
      </c>
      <c r="DM57" s="84">
        <f t="shared" si="16"/>
        <v>5058783</v>
      </c>
      <c r="DN57" s="84">
        <f>'[7]FY20 Initial Budget Alloca FTE'!F57*DN$1</f>
        <v>481568.48501492548</v>
      </c>
      <c r="DO57" s="81">
        <f t="shared" si="0"/>
        <v>46393.8</v>
      </c>
      <c r="DP57" s="81">
        <f t="shared" si="17"/>
        <v>12586.149253731344</v>
      </c>
      <c r="DQ57" s="74">
        <f t="shared" si="18"/>
        <v>422588.53576119413</v>
      </c>
      <c r="DR57" s="85">
        <f t="shared" si="36"/>
        <v>0.87752531345172358</v>
      </c>
      <c r="DS57" s="81">
        <f t="shared" si="19"/>
        <v>3424374.522456638</v>
      </c>
      <c r="DT57" s="81">
        <f t="shared" si="1"/>
        <v>792296.16272737633</v>
      </c>
      <c r="DU57" s="81">
        <f t="shared" si="2"/>
        <v>109114.27619794433</v>
      </c>
      <c r="DV57" s="81">
        <f t="shared" si="34"/>
        <v>178222.37000000002</v>
      </c>
      <c r="DW57" s="81">
        <f t="shared" si="29"/>
        <v>0</v>
      </c>
      <c r="DX57" s="81">
        <f t="shared" si="30"/>
        <v>0</v>
      </c>
      <c r="DY57" s="81">
        <f t="shared" si="31"/>
        <v>0</v>
      </c>
      <c r="DZ57" s="81">
        <f t="shared" si="32"/>
        <v>54082.8</v>
      </c>
      <c r="EA57" s="74">
        <f t="shared" si="8"/>
        <v>422588.53576119413</v>
      </c>
      <c r="EB57" s="81">
        <f t="shared" si="33"/>
        <v>46393.8</v>
      </c>
      <c r="EC57" s="81">
        <f t="shared" si="33"/>
        <v>12586.149253731344</v>
      </c>
      <c r="ED57" s="86">
        <f t="shared" si="20"/>
        <v>0.87752531345172358</v>
      </c>
      <c r="EE57" s="81">
        <f t="shared" si="21"/>
        <v>481568.48501492548</v>
      </c>
      <c r="EF57" s="81">
        <f t="shared" si="22"/>
        <v>5039658.6163968844</v>
      </c>
      <c r="EG57" s="81">
        <f t="shared" si="10"/>
        <v>0</v>
      </c>
      <c r="EH57" s="81">
        <v>4598332.4071021266</v>
      </c>
      <c r="EI57" s="84">
        <f t="shared" si="35"/>
        <v>4985575.8163968846</v>
      </c>
      <c r="EJ57" s="74">
        <f t="shared" si="12"/>
        <v>441326.20929475781</v>
      </c>
      <c r="EK57" s="74">
        <f t="shared" si="13"/>
        <v>387243.40929475799</v>
      </c>
      <c r="EM57" s="88">
        <f t="shared" si="14"/>
        <v>368</v>
      </c>
      <c r="EN57" s="74">
        <v>334</v>
      </c>
      <c r="EO57" s="74">
        <f t="shared" si="15"/>
        <v>34</v>
      </c>
      <c r="EP57" s="72">
        <v>353</v>
      </c>
      <c r="EQ57" s="74">
        <f t="shared" si="23"/>
        <v>19</v>
      </c>
      <c r="ER57" s="72">
        <v>353</v>
      </c>
      <c r="ES57" s="74">
        <f t="shared" si="24"/>
        <v>15</v>
      </c>
      <c r="ET57" s="74"/>
      <c r="EU57" s="74"/>
      <c r="EV57" s="74"/>
      <c r="EW57" s="89"/>
      <c r="EX57" s="81">
        <f t="shared" si="26"/>
        <v>4662193.4035263788</v>
      </c>
      <c r="EY57" s="81">
        <f t="shared" si="27"/>
        <v>377465.21287050605</v>
      </c>
    </row>
    <row r="58" spans="1:155" x14ac:dyDescent="0.25">
      <c r="A58" s="76">
        <v>370</v>
      </c>
      <c r="B58" s="76" t="s">
        <v>197</v>
      </c>
      <c r="C58" s="77" t="s">
        <v>135</v>
      </c>
      <c r="D58" s="41">
        <v>5</v>
      </c>
      <c r="E58" s="78">
        <v>308</v>
      </c>
      <c r="F58" s="78">
        <v>192.70422535211267</v>
      </c>
      <c r="G58" s="79">
        <v>173177.12015668923</v>
      </c>
      <c r="H58" s="79">
        <v>109114.27619794433</v>
      </c>
      <c r="I58" s="79">
        <v>112316.1761253514</v>
      </c>
      <c r="J58" s="79">
        <v>0</v>
      </c>
      <c r="K58" s="79">
        <v>0</v>
      </c>
      <c r="L58" s="79">
        <v>81577.320156689224</v>
      </c>
      <c r="M58" s="79">
        <v>59319.676384927567</v>
      </c>
      <c r="N58" s="79">
        <v>0</v>
      </c>
      <c r="O58" s="79">
        <v>0</v>
      </c>
      <c r="P58" s="79">
        <v>0</v>
      </c>
      <c r="Q58" s="79"/>
      <c r="R58" s="79">
        <v>69375.836746740591</v>
      </c>
      <c r="S58" s="79">
        <v>54629.386746740587</v>
      </c>
      <c r="T58" s="79">
        <v>97917.473493481171</v>
      </c>
      <c r="U58" s="79">
        <v>109114.27619794433</v>
      </c>
      <c r="V58" s="79">
        <v>109114.27619794433</v>
      </c>
      <c r="W58" s="79">
        <v>109114.27619794433</v>
      </c>
      <c r="X58" s="79">
        <v>109114.27619794433</v>
      </c>
      <c r="Y58" s="79">
        <v>0</v>
      </c>
      <c r="Z58" s="79"/>
      <c r="AA58" s="79">
        <v>327342.82859383302</v>
      </c>
      <c r="AB58" s="79">
        <v>103207.87915478271</v>
      </c>
      <c r="AC58" s="79">
        <v>0</v>
      </c>
      <c r="AD58" s="79">
        <v>0</v>
      </c>
      <c r="AE58" s="79">
        <v>218228.55239588866</v>
      </c>
      <c r="AF58" s="79">
        <v>68805.252769855142</v>
      </c>
      <c r="AG58" s="79">
        <v>218228.55239588866</v>
      </c>
      <c r="AH58" s="79">
        <v>68805.252769855142</v>
      </c>
      <c r="AI58" s="79">
        <v>218228.55239588866</v>
      </c>
      <c r="AJ58" s="79">
        <v>218228.55239588866</v>
      </c>
      <c r="AK58" s="79">
        <v>109114.27619794433</v>
      </c>
      <c r="AL58" s="79">
        <v>218228.55239588866</v>
      </c>
      <c r="AM58" s="79">
        <v>218228.55239588866</v>
      </c>
      <c r="AN58" s="79">
        <v>0</v>
      </c>
      <c r="AO58" s="79">
        <v>0</v>
      </c>
      <c r="AP58" s="79">
        <v>0</v>
      </c>
      <c r="AQ58" s="79">
        <v>0</v>
      </c>
      <c r="AR58" s="79">
        <v>0</v>
      </c>
      <c r="AS58" s="79">
        <v>0</v>
      </c>
      <c r="AT58" s="79">
        <v>0</v>
      </c>
      <c r="AU58" s="79">
        <v>0</v>
      </c>
      <c r="AV58" s="79"/>
      <c r="AW58" s="79">
        <v>0</v>
      </c>
      <c r="AX58" s="79">
        <v>109114.27619794433</v>
      </c>
      <c r="AY58" s="79">
        <v>218228.55239588866</v>
      </c>
      <c r="AZ58" s="79">
        <v>982028.48578149895</v>
      </c>
      <c r="BA58" s="79">
        <v>344026.26384927571</v>
      </c>
      <c r="BB58" s="79">
        <v>96126.952769855139</v>
      </c>
      <c r="BC58" s="79">
        <v>105202</v>
      </c>
      <c r="BD58" s="79">
        <v>109114.27619794433</v>
      </c>
      <c r="BE58" s="79">
        <v>0</v>
      </c>
      <c r="BF58" s="79">
        <v>0</v>
      </c>
      <c r="BG58" s="79">
        <f>23944-BL58</f>
        <v>12346.9</v>
      </c>
      <c r="BH58" s="79">
        <v>22448</v>
      </c>
      <c r="BI58" s="79">
        <v>6734</v>
      </c>
      <c r="BJ58" s="79"/>
      <c r="BK58" s="79">
        <v>0</v>
      </c>
      <c r="BL58" s="79">
        <v>11597.1</v>
      </c>
      <c r="BM58" s="79">
        <v>130732.01</v>
      </c>
      <c r="BN58" s="79">
        <v>2080.2800000000002</v>
      </c>
      <c r="BO58" s="79">
        <v>0</v>
      </c>
      <c r="BP58" s="79">
        <v>0</v>
      </c>
      <c r="BQ58" s="79">
        <v>0</v>
      </c>
      <c r="BR58" s="79">
        <v>0</v>
      </c>
      <c r="BS58" s="79">
        <v>0</v>
      </c>
      <c r="BT58" s="79">
        <v>0</v>
      </c>
      <c r="BU58" s="79">
        <v>0</v>
      </c>
      <c r="BV58" s="80">
        <v>0</v>
      </c>
      <c r="BW58" s="80">
        <v>0</v>
      </c>
      <c r="BX58" s="80">
        <v>0</v>
      </c>
      <c r="BY58" s="80">
        <v>0</v>
      </c>
      <c r="BZ58" s="80">
        <v>0</v>
      </c>
      <c r="CA58" s="80">
        <v>0</v>
      </c>
      <c r="CB58" s="80">
        <v>0</v>
      </c>
      <c r="CC58" s="80">
        <v>0</v>
      </c>
      <c r="CD58" s="79">
        <v>0</v>
      </c>
      <c r="CE58" s="79">
        <v>0</v>
      </c>
      <c r="CF58" s="79">
        <v>0</v>
      </c>
      <c r="CG58" s="79">
        <v>0</v>
      </c>
      <c r="CH58" s="79">
        <v>0</v>
      </c>
      <c r="CI58" s="79">
        <v>0</v>
      </c>
      <c r="CJ58" s="79">
        <v>0</v>
      </c>
      <c r="CK58" s="79">
        <v>0</v>
      </c>
      <c r="CL58" s="79">
        <v>0</v>
      </c>
      <c r="CM58" s="79">
        <v>54082.8</v>
      </c>
      <c r="CN58" s="79">
        <v>0</v>
      </c>
      <c r="CO58" s="79">
        <v>0</v>
      </c>
      <c r="CP58" s="79">
        <v>75000</v>
      </c>
      <c r="CQ58" s="79">
        <v>3854.0845070422533</v>
      </c>
      <c r="CR58" s="79">
        <v>0</v>
      </c>
      <c r="CS58" s="79">
        <v>17960.022641509433</v>
      </c>
      <c r="CT58" s="79"/>
      <c r="CU58" s="79">
        <v>0</v>
      </c>
      <c r="CV58" s="79"/>
      <c r="CW58" s="79">
        <v>0</v>
      </c>
      <c r="CX58" s="79">
        <v>0</v>
      </c>
      <c r="CY58" s="79">
        <v>0</v>
      </c>
      <c r="CZ58" s="79">
        <v>0</v>
      </c>
      <c r="DA58" s="79">
        <v>30800</v>
      </c>
      <c r="DB58" s="79">
        <v>82824.388907855056</v>
      </c>
      <c r="DC58" s="82">
        <v>0</v>
      </c>
      <c r="DD58" s="79">
        <v>134050</v>
      </c>
      <c r="DE58" s="79"/>
      <c r="DF58" s="79">
        <v>20700</v>
      </c>
      <c r="DG58" s="79">
        <v>0</v>
      </c>
      <c r="DH58" s="83">
        <v>0</v>
      </c>
      <c r="DI58" s="79">
        <v>18667.47262308688</v>
      </c>
      <c r="DJ58" s="79">
        <v>5749581.5679107588</v>
      </c>
      <c r="DK58" s="84">
        <v>54557.432089241222</v>
      </c>
      <c r="DL58" s="84">
        <v>0</v>
      </c>
      <c r="DM58" s="84">
        <f t="shared" si="16"/>
        <v>5804139</v>
      </c>
      <c r="DN58" s="84">
        <f>'[7]FY20 Initial Budget Alloca FTE'!F58*DN$1</f>
        <v>423151.50028169015</v>
      </c>
      <c r="DO58" s="81">
        <f t="shared" si="0"/>
        <v>41528.9</v>
      </c>
      <c r="DP58" s="81">
        <f t="shared" si="17"/>
        <v>99554.084507042251</v>
      </c>
      <c r="DQ58" s="74">
        <f t="shared" si="18"/>
        <v>282068.51577464788</v>
      </c>
      <c r="DR58" s="85">
        <f t="shared" si="36"/>
        <v>0.66658989885862641</v>
      </c>
      <c r="DS58" s="81">
        <f t="shared" si="19"/>
        <v>3030047.0704366602</v>
      </c>
      <c r="DT58" s="81">
        <f t="shared" si="1"/>
        <v>1854726.5309944628</v>
      </c>
      <c r="DU58" s="81">
        <f t="shared" si="2"/>
        <v>109114.27619794433</v>
      </c>
      <c r="DV58" s="81">
        <f t="shared" si="34"/>
        <v>144409.38999999998</v>
      </c>
      <c r="DW58" s="81">
        <f t="shared" si="29"/>
        <v>134050</v>
      </c>
      <c r="DX58" s="81">
        <f t="shared" si="30"/>
        <v>0</v>
      </c>
      <c r="DY58" s="81">
        <f t="shared" si="31"/>
        <v>0</v>
      </c>
      <c r="DZ58" s="81">
        <f t="shared" si="32"/>
        <v>54082.8</v>
      </c>
      <c r="EA58" s="74">
        <f t="shared" si="8"/>
        <v>282068.51577464788</v>
      </c>
      <c r="EB58" s="81">
        <f t="shared" si="33"/>
        <v>41528.9</v>
      </c>
      <c r="EC58" s="81">
        <f t="shared" si="33"/>
        <v>99554.084507042251</v>
      </c>
      <c r="ED58" s="86">
        <f t="shared" si="20"/>
        <v>0.66658989885862641</v>
      </c>
      <c r="EE58" s="81">
        <f t="shared" si="21"/>
        <v>423151.50028169015</v>
      </c>
      <c r="EF58" s="81">
        <f t="shared" si="22"/>
        <v>5749581.5679107578</v>
      </c>
      <c r="EG58" s="81">
        <f t="shared" si="10"/>
        <v>0</v>
      </c>
      <c r="EH58" s="81">
        <v>5044623.9407279417</v>
      </c>
      <c r="EI58" s="84">
        <f t="shared" si="35"/>
        <v>5695498.767910759</v>
      </c>
      <c r="EJ58" s="74">
        <f t="shared" si="12"/>
        <v>704957.62718281709</v>
      </c>
      <c r="EK58" s="74">
        <f t="shared" si="13"/>
        <v>650874.82718281727</v>
      </c>
      <c r="EM58" s="88">
        <f t="shared" si="14"/>
        <v>308</v>
      </c>
      <c r="EN58" s="74">
        <v>264</v>
      </c>
      <c r="EO58" s="74">
        <f t="shared" si="15"/>
        <v>44</v>
      </c>
      <c r="EP58" s="72">
        <v>290</v>
      </c>
      <c r="EQ58" s="74">
        <f t="shared" si="23"/>
        <v>26</v>
      </c>
      <c r="ER58" s="72">
        <v>253</v>
      </c>
      <c r="ES58" s="74">
        <f t="shared" si="24"/>
        <v>55</v>
      </c>
      <c r="ET58" s="74"/>
      <c r="EU58" s="74"/>
      <c r="EV58" s="74"/>
      <c r="EW58" s="89"/>
      <c r="EX58" s="81">
        <f t="shared" si="26"/>
        <v>5185900.8818543516</v>
      </c>
      <c r="EY58" s="81">
        <f t="shared" si="27"/>
        <v>563680.6860564067</v>
      </c>
    </row>
    <row r="59" spans="1:155" x14ac:dyDescent="0.25">
      <c r="A59" s="76">
        <v>264</v>
      </c>
      <c r="B59" s="76" t="s">
        <v>198</v>
      </c>
      <c r="C59" s="77" t="s">
        <v>150</v>
      </c>
      <c r="D59" s="41">
        <v>4</v>
      </c>
      <c r="E59" s="78">
        <v>365</v>
      </c>
      <c r="F59" s="78">
        <v>216</v>
      </c>
      <c r="G59" s="79">
        <v>173177.12015668923</v>
      </c>
      <c r="H59" s="79">
        <v>109114.27619794433</v>
      </c>
      <c r="I59" s="79">
        <v>42118.566047006767</v>
      </c>
      <c r="J59" s="79">
        <v>109114.27619794433</v>
      </c>
      <c r="K59" s="79">
        <v>0</v>
      </c>
      <c r="L59" s="79">
        <v>81577.320156689224</v>
      </c>
      <c r="M59" s="79">
        <v>59319.676384927567</v>
      </c>
      <c r="N59" s="79">
        <v>0</v>
      </c>
      <c r="O59" s="79">
        <v>0</v>
      </c>
      <c r="P59" s="79">
        <v>0</v>
      </c>
      <c r="Q59" s="79"/>
      <c r="R59" s="79">
        <v>69375.836746740591</v>
      </c>
      <c r="S59" s="79">
        <v>54629.386746740587</v>
      </c>
      <c r="T59" s="79">
        <v>97917.473493481171</v>
      </c>
      <c r="U59" s="79">
        <v>109114.27619794433</v>
      </c>
      <c r="V59" s="79">
        <v>109114.27619794433</v>
      </c>
      <c r="W59" s="79">
        <v>109114.27619794433</v>
      </c>
      <c r="X59" s="79">
        <v>109114.27619794433</v>
      </c>
      <c r="Y59" s="79">
        <v>0</v>
      </c>
      <c r="Z59" s="79"/>
      <c r="AA59" s="79">
        <v>109114.27619794433</v>
      </c>
      <c r="AB59" s="79">
        <v>34402.626384927571</v>
      </c>
      <c r="AC59" s="79">
        <v>218228.55239588866</v>
      </c>
      <c r="AD59" s="79">
        <v>68805.252769855142</v>
      </c>
      <c r="AE59" s="79">
        <v>109114.27619794433</v>
      </c>
      <c r="AF59" s="79">
        <v>34402.626384927571</v>
      </c>
      <c r="AG59" s="79">
        <v>218228.55239588866</v>
      </c>
      <c r="AH59" s="79">
        <v>68805.252769855142</v>
      </c>
      <c r="AI59" s="79">
        <v>218228.55239588866</v>
      </c>
      <c r="AJ59" s="79">
        <v>218228.55239588866</v>
      </c>
      <c r="AK59" s="79">
        <v>327342.82859383302</v>
      </c>
      <c r="AL59" s="79">
        <v>218228.55239588866</v>
      </c>
      <c r="AM59" s="79">
        <v>109114.27619794433</v>
      </c>
      <c r="AN59" s="79">
        <v>0</v>
      </c>
      <c r="AO59" s="79">
        <v>196405.69715629981</v>
      </c>
      <c r="AP59" s="79">
        <v>207317.12477609422</v>
      </c>
      <c r="AQ59" s="79">
        <v>0</v>
      </c>
      <c r="AR59" s="79">
        <v>0</v>
      </c>
      <c r="AS59" s="79">
        <v>0</v>
      </c>
      <c r="AT59" s="79">
        <v>0</v>
      </c>
      <c r="AU59" s="79">
        <v>0</v>
      </c>
      <c r="AV59" s="79"/>
      <c r="AW59" s="79">
        <v>0</v>
      </c>
      <c r="AX59" s="79">
        <v>109114.27619794433</v>
      </c>
      <c r="AY59" s="79">
        <v>327342.82859383302</v>
      </c>
      <c r="AZ59" s="79">
        <v>872914.20958355465</v>
      </c>
      <c r="BA59" s="79">
        <v>137610.50553971028</v>
      </c>
      <c r="BB59" s="79">
        <v>144190.4291547827</v>
      </c>
      <c r="BC59" s="79">
        <v>0</v>
      </c>
      <c r="BD59" s="79">
        <v>872914.20958355465</v>
      </c>
      <c r="BE59" s="79">
        <v>0</v>
      </c>
      <c r="BF59" s="79">
        <v>109114.27619794433</v>
      </c>
      <c r="BG59" s="79">
        <f>29930-BL59</f>
        <v>6735.7999999999993</v>
      </c>
      <c r="BH59" s="79">
        <v>28060</v>
      </c>
      <c r="BI59" s="79">
        <v>6734</v>
      </c>
      <c r="BJ59" s="79"/>
      <c r="BK59" s="79">
        <v>0</v>
      </c>
      <c r="BL59" s="79">
        <v>23194.2</v>
      </c>
      <c r="BM59" s="79">
        <v>172090.87</v>
      </c>
      <c r="BN59" s="79">
        <v>2738.41</v>
      </c>
      <c r="BO59" s="79">
        <v>0</v>
      </c>
      <c r="BP59" s="79">
        <v>0</v>
      </c>
      <c r="BQ59" s="79">
        <v>0</v>
      </c>
      <c r="BR59" s="79">
        <v>0</v>
      </c>
      <c r="BS59" s="79">
        <v>0</v>
      </c>
      <c r="BT59" s="79">
        <v>0</v>
      </c>
      <c r="BU59" s="79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80">
        <v>0</v>
      </c>
      <c r="CC59" s="80">
        <v>0</v>
      </c>
      <c r="CD59" s="79">
        <v>0</v>
      </c>
      <c r="CE59" s="79">
        <v>0</v>
      </c>
      <c r="CF59" s="79">
        <v>0</v>
      </c>
      <c r="CG59" s="79">
        <v>0</v>
      </c>
      <c r="CH59" s="79">
        <v>0</v>
      </c>
      <c r="CI59" s="79">
        <v>218228.55239588866</v>
      </c>
      <c r="CJ59" s="79">
        <v>0</v>
      </c>
      <c r="CK59" s="79">
        <v>23000</v>
      </c>
      <c r="CL59" s="79">
        <v>5000</v>
      </c>
      <c r="CM59" s="79">
        <v>108165.6</v>
      </c>
      <c r="CN59" s="79">
        <v>100000</v>
      </c>
      <c r="CO59" s="79">
        <v>0</v>
      </c>
      <c r="CP59" s="79">
        <v>0</v>
      </c>
      <c r="CQ59" s="79">
        <v>4320</v>
      </c>
      <c r="CR59" s="79">
        <v>0</v>
      </c>
      <c r="CS59" s="79">
        <v>22033.075000000001</v>
      </c>
      <c r="CT59" s="79"/>
      <c r="CU59" s="79">
        <v>0</v>
      </c>
      <c r="CV59" s="79"/>
      <c r="CW59" s="79">
        <v>0</v>
      </c>
      <c r="CX59" s="79">
        <v>0</v>
      </c>
      <c r="CY59" s="79">
        <v>0</v>
      </c>
      <c r="CZ59" s="79">
        <v>0</v>
      </c>
      <c r="DA59" s="79">
        <v>36500</v>
      </c>
      <c r="DB59" s="79">
        <v>104331.17690957717</v>
      </c>
      <c r="DC59" s="82">
        <v>0</v>
      </c>
      <c r="DD59" s="79">
        <v>0</v>
      </c>
      <c r="DE59" s="79"/>
      <c r="DF59" s="79">
        <v>38850</v>
      </c>
      <c r="DG59" s="79">
        <v>0</v>
      </c>
      <c r="DH59" s="83">
        <v>0</v>
      </c>
      <c r="DI59" s="79">
        <v>19347.809467084382</v>
      </c>
      <c r="DJ59" s="79">
        <v>7061950.4554857993</v>
      </c>
      <c r="DK59" s="84">
        <v>4.5142006129026413E-3</v>
      </c>
      <c r="DL59" s="84">
        <v>0</v>
      </c>
      <c r="DM59" s="84">
        <f t="shared" si="16"/>
        <v>7061950.46</v>
      </c>
      <c r="DN59" s="84">
        <f>'[7]FY20 Initial Budget Alloca FTE'!F59*DN$1</f>
        <v>474305.76</v>
      </c>
      <c r="DO59" s="81">
        <f t="shared" si="0"/>
        <v>41529.800000000003</v>
      </c>
      <c r="DP59" s="81">
        <f t="shared" si="17"/>
        <v>43170</v>
      </c>
      <c r="DQ59" s="74">
        <f t="shared" si="18"/>
        <v>389605.96</v>
      </c>
      <c r="DR59" s="85">
        <f t="shared" si="36"/>
        <v>0.82142363187830569</v>
      </c>
      <c r="DS59" s="81">
        <f t="shared" si="19"/>
        <v>3708254.8806344755</v>
      </c>
      <c r="DT59" s="81">
        <f t="shared" si="1"/>
        <v>1591172.249069825</v>
      </c>
      <c r="DU59" s="81">
        <f t="shared" si="2"/>
        <v>982028.48578149895</v>
      </c>
      <c r="DV59" s="81">
        <f t="shared" si="34"/>
        <v>198023.48</v>
      </c>
      <c r="DW59" s="81">
        <f t="shared" si="29"/>
        <v>0</v>
      </c>
      <c r="DX59" s="81">
        <f t="shared" si="30"/>
        <v>0</v>
      </c>
      <c r="DY59" s="81">
        <f t="shared" si="31"/>
        <v>0</v>
      </c>
      <c r="DZ59" s="81">
        <f t="shared" si="32"/>
        <v>108165.6</v>
      </c>
      <c r="EA59" s="74">
        <f t="shared" si="8"/>
        <v>389605.96</v>
      </c>
      <c r="EB59" s="81">
        <f t="shared" si="33"/>
        <v>41529.800000000003</v>
      </c>
      <c r="EC59" s="81">
        <f t="shared" si="33"/>
        <v>43170</v>
      </c>
      <c r="ED59" s="86">
        <f t="shared" si="20"/>
        <v>0.82142363187830569</v>
      </c>
      <c r="EE59" s="81">
        <f t="shared" si="21"/>
        <v>474305.76</v>
      </c>
      <c r="EF59" s="81">
        <f t="shared" si="22"/>
        <v>7061950.4554857993</v>
      </c>
      <c r="EG59" s="81">
        <f t="shared" si="10"/>
        <v>0</v>
      </c>
      <c r="EH59" s="81">
        <v>6410001.4128637612</v>
      </c>
      <c r="EI59" s="84">
        <f t="shared" si="35"/>
        <v>6953784.8554857997</v>
      </c>
      <c r="EJ59" s="74">
        <f t="shared" si="12"/>
        <v>651949.04262203816</v>
      </c>
      <c r="EK59" s="74">
        <f t="shared" si="13"/>
        <v>543783.44262203854</v>
      </c>
      <c r="EM59" s="88">
        <f t="shared" si="14"/>
        <v>365</v>
      </c>
      <c r="EN59" s="74">
        <v>370</v>
      </c>
      <c r="EO59" s="74">
        <f t="shared" si="15"/>
        <v>-5</v>
      </c>
      <c r="EP59" s="72">
        <v>382</v>
      </c>
      <c r="EQ59" s="74">
        <f t="shared" si="23"/>
        <v>12</v>
      </c>
      <c r="ER59" s="72">
        <v>375</v>
      </c>
      <c r="ES59" s="74">
        <f t="shared" si="24"/>
        <v>-10</v>
      </c>
      <c r="ET59" s="74"/>
      <c r="EU59" s="74"/>
      <c r="EV59" s="74"/>
      <c r="EW59" s="89"/>
      <c r="EX59" s="81">
        <f t="shared" si="26"/>
        <v>6421727.123576222</v>
      </c>
      <c r="EY59" s="81">
        <f t="shared" si="27"/>
        <v>640223.33190957725</v>
      </c>
    </row>
    <row r="60" spans="1:155" x14ac:dyDescent="0.25">
      <c r="A60" s="76">
        <v>266</v>
      </c>
      <c r="B60" s="76" t="s">
        <v>199</v>
      </c>
      <c r="C60" s="77" t="s">
        <v>150</v>
      </c>
      <c r="D60" s="41">
        <v>8</v>
      </c>
      <c r="E60" s="78">
        <v>519</v>
      </c>
      <c r="F60" s="78">
        <v>260</v>
      </c>
      <c r="G60" s="79">
        <v>173177.12015668923</v>
      </c>
      <c r="H60" s="79">
        <v>109114.27619794433</v>
      </c>
      <c r="I60" s="79">
        <v>196553.3082193649</v>
      </c>
      <c r="J60" s="79">
        <v>109114.27619794433</v>
      </c>
      <c r="K60" s="79">
        <v>0</v>
      </c>
      <c r="L60" s="79">
        <v>81577.320156689224</v>
      </c>
      <c r="M60" s="79">
        <v>59319.676384927567</v>
      </c>
      <c r="N60" s="79">
        <v>58025.924300405837</v>
      </c>
      <c r="O60" s="79">
        <v>0</v>
      </c>
      <c r="P60" s="79">
        <v>0</v>
      </c>
      <c r="Q60" s="79"/>
      <c r="R60" s="79">
        <v>69375.836746740591</v>
      </c>
      <c r="S60" s="79">
        <v>54629.386746740587</v>
      </c>
      <c r="T60" s="79">
        <v>146876.21024022176</v>
      </c>
      <c r="U60" s="79">
        <v>109114.27619794433</v>
      </c>
      <c r="V60" s="79">
        <v>109114.27619794433</v>
      </c>
      <c r="W60" s="79">
        <v>109114.27619794433</v>
      </c>
      <c r="X60" s="79">
        <v>109114.27619794433</v>
      </c>
      <c r="Y60" s="79">
        <v>163671.41429691651</v>
      </c>
      <c r="Z60" s="79"/>
      <c r="AA60" s="79">
        <v>327342.82859383302</v>
      </c>
      <c r="AB60" s="79">
        <v>103207.87915478271</v>
      </c>
      <c r="AC60" s="79">
        <v>0</v>
      </c>
      <c r="AD60" s="79">
        <v>0</v>
      </c>
      <c r="AE60" s="79">
        <v>327342.82859383302</v>
      </c>
      <c r="AF60" s="79">
        <v>103207.87915478271</v>
      </c>
      <c r="AG60" s="79">
        <v>327342.82859383302</v>
      </c>
      <c r="AH60" s="79">
        <v>103207.87915478271</v>
      </c>
      <c r="AI60" s="79">
        <v>327342.82859383302</v>
      </c>
      <c r="AJ60" s="79">
        <v>327342.82859383302</v>
      </c>
      <c r="AK60" s="79">
        <v>327342.82859383302</v>
      </c>
      <c r="AL60" s="79">
        <v>327342.82859383302</v>
      </c>
      <c r="AM60" s="79">
        <v>218228.55239588866</v>
      </c>
      <c r="AN60" s="79">
        <v>185494.26953650537</v>
      </c>
      <c r="AO60" s="79">
        <v>141848.55905732763</v>
      </c>
      <c r="AP60" s="79">
        <v>109114.27619794433</v>
      </c>
      <c r="AQ60" s="79">
        <v>0</v>
      </c>
      <c r="AR60" s="79">
        <v>0</v>
      </c>
      <c r="AS60" s="79">
        <v>0</v>
      </c>
      <c r="AT60" s="79">
        <v>0</v>
      </c>
      <c r="AU60" s="79">
        <v>0</v>
      </c>
      <c r="AV60" s="79"/>
      <c r="AW60" s="79">
        <v>0</v>
      </c>
      <c r="AX60" s="79">
        <v>109114.27619794433</v>
      </c>
      <c r="AY60" s="79">
        <v>218228.55239588866</v>
      </c>
      <c r="AZ60" s="79">
        <v>763799.93338561035</v>
      </c>
      <c r="BA60" s="79">
        <v>34402.626384927571</v>
      </c>
      <c r="BB60" s="79">
        <v>0</v>
      </c>
      <c r="BC60" s="79">
        <v>0</v>
      </c>
      <c r="BD60" s="79">
        <v>44637.658444613589</v>
      </c>
      <c r="BE60" s="79">
        <v>0</v>
      </c>
      <c r="BF60" s="79">
        <v>0</v>
      </c>
      <c r="BG60" s="79">
        <f>47888-BL60</f>
        <v>12348.5</v>
      </c>
      <c r="BH60" s="79">
        <v>44896</v>
      </c>
      <c r="BI60" s="79">
        <v>6734</v>
      </c>
      <c r="BJ60" s="79"/>
      <c r="BK60" s="79">
        <v>0</v>
      </c>
      <c r="BL60" s="79">
        <v>35539.5</v>
      </c>
      <c r="BM60" s="79">
        <v>265267.14</v>
      </c>
      <c r="BN60" s="79">
        <v>4221.09</v>
      </c>
      <c r="BO60" s="79">
        <v>0</v>
      </c>
      <c r="BP60" s="79">
        <v>0</v>
      </c>
      <c r="BQ60" s="79">
        <v>0</v>
      </c>
      <c r="BR60" s="79">
        <v>0</v>
      </c>
      <c r="BS60" s="79">
        <v>0</v>
      </c>
      <c r="BT60" s="79">
        <v>0</v>
      </c>
      <c r="BU60" s="79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80">
        <v>0</v>
      </c>
      <c r="CC60" s="80">
        <v>0</v>
      </c>
      <c r="CD60" s="79">
        <v>0</v>
      </c>
      <c r="CE60" s="79">
        <v>0</v>
      </c>
      <c r="CF60" s="79">
        <v>0</v>
      </c>
      <c r="CG60" s="79">
        <v>0</v>
      </c>
      <c r="CH60" s="79">
        <v>0</v>
      </c>
      <c r="CI60" s="79">
        <v>218228.55239588866</v>
      </c>
      <c r="CJ60" s="79">
        <v>0</v>
      </c>
      <c r="CK60" s="79">
        <v>23000</v>
      </c>
      <c r="CL60" s="79">
        <v>5000</v>
      </c>
      <c r="CM60" s="79">
        <v>108165.6</v>
      </c>
      <c r="CN60" s="79">
        <v>100000</v>
      </c>
      <c r="CO60" s="79">
        <v>0</v>
      </c>
      <c r="CP60" s="79">
        <v>0</v>
      </c>
      <c r="CQ60" s="79">
        <v>5200</v>
      </c>
      <c r="CR60" s="79">
        <v>180360</v>
      </c>
      <c r="CS60" s="79">
        <v>29217.362499999999</v>
      </c>
      <c r="CT60" s="79"/>
      <c r="CU60" s="79">
        <v>0</v>
      </c>
      <c r="CV60" s="79"/>
      <c r="CW60" s="79">
        <v>0</v>
      </c>
      <c r="CX60" s="79">
        <v>0</v>
      </c>
      <c r="CY60" s="79">
        <v>0</v>
      </c>
      <c r="CZ60" s="79">
        <v>0</v>
      </c>
      <c r="DA60" s="79">
        <v>51900</v>
      </c>
      <c r="DB60" s="79">
        <v>105976.19803004629</v>
      </c>
      <c r="DC60" s="82">
        <v>0</v>
      </c>
      <c r="DD60" s="79">
        <v>0</v>
      </c>
      <c r="DE60" s="79"/>
      <c r="DF60" s="79">
        <v>31800</v>
      </c>
      <c r="DG60" s="79">
        <v>0</v>
      </c>
      <c r="DH60" s="83">
        <v>0</v>
      </c>
      <c r="DI60" s="79">
        <v>14087.934371830688</v>
      </c>
      <c r="DJ60" s="79">
        <v>7311637.9389801268</v>
      </c>
      <c r="DK60" s="84">
        <v>75000.061019873247</v>
      </c>
      <c r="DL60" s="84">
        <v>0</v>
      </c>
      <c r="DM60" s="84">
        <f t="shared" si="16"/>
        <v>7386638</v>
      </c>
      <c r="DN60" s="84">
        <f>'[7]FY20 Initial Budget Alloca FTE'!F60*DN$1</f>
        <v>570923.6</v>
      </c>
      <c r="DO60" s="81">
        <f t="shared" si="0"/>
        <v>63978.5</v>
      </c>
      <c r="DP60" s="81">
        <f t="shared" si="17"/>
        <v>217360</v>
      </c>
      <c r="DQ60" s="74">
        <f t="shared" si="18"/>
        <v>289585.09999999998</v>
      </c>
      <c r="DR60" s="85">
        <f t="shared" si="36"/>
        <v>0.50722215722033559</v>
      </c>
      <c r="DS60" s="81">
        <f t="shared" si="19"/>
        <v>5157337.9621711429</v>
      </c>
      <c r="DT60" s="81">
        <f t="shared" si="1"/>
        <v>1125545.3883643711</v>
      </c>
      <c r="DU60" s="81">
        <f t="shared" si="2"/>
        <v>44637.658444613589</v>
      </c>
      <c r="DV60" s="81">
        <f t="shared" si="34"/>
        <v>305027.73000000004</v>
      </c>
      <c r="DW60" s="81">
        <f t="shared" si="29"/>
        <v>0</v>
      </c>
      <c r="DX60" s="81">
        <f t="shared" si="30"/>
        <v>0</v>
      </c>
      <c r="DY60" s="81">
        <f t="shared" si="31"/>
        <v>0</v>
      </c>
      <c r="DZ60" s="81">
        <f t="shared" si="32"/>
        <v>108165.6</v>
      </c>
      <c r="EA60" s="74">
        <f t="shared" si="8"/>
        <v>289585.09999999998</v>
      </c>
      <c r="EB60" s="81">
        <f t="shared" si="33"/>
        <v>63978.5</v>
      </c>
      <c r="EC60" s="81">
        <f t="shared" si="33"/>
        <v>217360</v>
      </c>
      <c r="ED60" s="86">
        <f t="shared" si="20"/>
        <v>0.50722215722033559</v>
      </c>
      <c r="EE60" s="81">
        <f t="shared" si="21"/>
        <v>570923.6</v>
      </c>
      <c r="EF60" s="81">
        <f t="shared" si="22"/>
        <v>7311637.9389801268</v>
      </c>
      <c r="EG60" s="81">
        <f t="shared" si="10"/>
        <v>0</v>
      </c>
      <c r="EH60" s="81">
        <v>6998973.3653788185</v>
      </c>
      <c r="EI60" s="84">
        <f t="shared" si="35"/>
        <v>7203472.3389801271</v>
      </c>
      <c r="EJ60" s="74">
        <f t="shared" si="12"/>
        <v>312664.57360130828</v>
      </c>
      <c r="EK60" s="74">
        <f t="shared" si="13"/>
        <v>204498.97360130865</v>
      </c>
      <c r="EM60" s="88">
        <f t="shared" si="14"/>
        <v>519</v>
      </c>
      <c r="EN60" s="74">
        <v>555</v>
      </c>
      <c r="EO60" s="74">
        <f t="shared" si="15"/>
        <v>-36</v>
      </c>
      <c r="EP60" s="72">
        <v>529</v>
      </c>
      <c r="EQ60" s="74">
        <f t="shared" si="23"/>
        <v>-26</v>
      </c>
      <c r="ER60" s="72">
        <v>518</v>
      </c>
      <c r="ES60" s="74">
        <f t="shared" si="24"/>
        <v>1</v>
      </c>
      <c r="ET60" s="74"/>
      <c r="EU60" s="74"/>
      <c r="EV60" s="74"/>
      <c r="EW60" s="89"/>
      <c r="EX60" s="81">
        <f t="shared" si="26"/>
        <v>6365991.0484500816</v>
      </c>
      <c r="EY60" s="81">
        <f t="shared" si="27"/>
        <v>945646.89053004642</v>
      </c>
    </row>
    <row r="61" spans="1:155" x14ac:dyDescent="0.25">
      <c r="A61" s="76">
        <v>271</v>
      </c>
      <c r="B61" s="76" t="s">
        <v>200</v>
      </c>
      <c r="C61" s="77" t="s">
        <v>135</v>
      </c>
      <c r="D61" s="41">
        <v>6</v>
      </c>
      <c r="E61" s="78">
        <v>452</v>
      </c>
      <c r="F61" s="78">
        <v>137.75510204081633</v>
      </c>
      <c r="G61" s="79">
        <v>173177.12015668923</v>
      </c>
      <c r="H61" s="79">
        <v>109114.27619794433</v>
      </c>
      <c r="I61" s="79">
        <v>154434.74217235818</v>
      </c>
      <c r="J61" s="79">
        <v>0</v>
      </c>
      <c r="K61" s="79">
        <v>0</v>
      </c>
      <c r="L61" s="79">
        <v>81577.320156689224</v>
      </c>
      <c r="M61" s="79">
        <v>59319.676384927567</v>
      </c>
      <c r="N61" s="79">
        <v>49098.859023420329</v>
      </c>
      <c r="O61" s="79">
        <v>0</v>
      </c>
      <c r="P61" s="79">
        <v>0</v>
      </c>
      <c r="Q61" s="79"/>
      <c r="R61" s="79">
        <v>69375.836746740591</v>
      </c>
      <c r="S61" s="79">
        <v>54629.386746740587</v>
      </c>
      <c r="T61" s="79">
        <v>97917.473493481171</v>
      </c>
      <c r="U61" s="79">
        <v>109114.27619794433</v>
      </c>
      <c r="V61" s="79">
        <v>109114.27619794433</v>
      </c>
      <c r="W61" s="79">
        <v>109114.27619794433</v>
      </c>
      <c r="X61" s="79">
        <v>109114.27619794433</v>
      </c>
      <c r="Y61" s="79">
        <v>163671.41429691651</v>
      </c>
      <c r="Z61" s="79"/>
      <c r="AA61" s="79">
        <v>327342.82859383302</v>
      </c>
      <c r="AB61" s="79">
        <v>103207.87915478271</v>
      </c>
      <c r="AC61" s="79">
        <v>0</v>
      </c>
      <c r="AD61" s="79">
        <v>0</v>
      </c>
      <c r="AE61" s="79">
        <v>327342.82859383302</v>
      </c>
      <c r="AF61" s="79">
        <v>103207.87915478271</v>
      </c>
      <c r="AG61" s="79">
        <v>327342.82859383302</v>
      </c>
      <c r="AH61" s="79">
        <v>103207.87915478271</v>
      </c>
      <c r="AI61" s="79">
        <v>327342.82859383302</v>
      </c>
      <c r="AJ61" s="79">
        <v>327342.82859383302</v>
      </c>
      <c r="AK61" s="79">
        <v>327342.82859383302</v>
      </c>
      <c r="AL61" s="79">
        <v>218228.55239588866</v>
      </c>
      <c r="AM61" s="79">
        <v>327342.82859383302</v>
      </c>
      <c r="AN61" s="79">
        <v>0</v>
      </c>
      <c r="AO61" s="79">
        <v>0</v>
      </c>
      <c r="AP61" s="79">
        <v>0</v>
      </c>
      <c r="AQ61" s="79">
        <v>0</v>
      </c>
      <c r="AR61" s="79">
        <v>0</v>
      </c>
      <c r="AS61" s="79">
        <v>0</v>
      </c>
      <c r="AT61" s="79">
        <v>0</v>
      </c>
      <c r="AU61" s="79">
        <v>0</v>
      </c>
      <c r="AV61" s="79"/>
      <c r="AW61" s="79">
        <v>0</v>
      </c>
      <c r="AX61" s="79">
        <v>109114.27619794433</v>
      </c>
      <c r="AY61" s="79">
        <v>218228.55239588866</v>
      </c>
      <c r="AZ61" s="79">
        <v>982028.48578149895</v>
      </c>
      <c r="BA61" s="79">
        <v>275221.01107942057</v>
      </c>
      <c r="BB61" s="79">
        <v>0</v>
      </c>
      <c r="BC61" s="79">
        <v>0</v>
      </c>
      <c r="BD61" s="79">
        <v>109114.27619794433</v>
      </c>
      <c r="BE61" s="79">
        <v>0</v>
      </c>
      <c r="BF61" s="79">
        <v>0</v>
      </c>
      <c r="BG61" s="79">
        <f>89790-BL61</f>
        <v>43401.599999999999</v>
      </c>
      <c r="BH61" s="79">
        <v>84180</v>
      </c>
      <c r="BI61" s="79">
        <v>0</v>
      </c>
      <c r="BJ61" s="79"/>
      <c r="BK61" s="79">
        <v>0</v>
      </c>
      <c r="BL61" s="79">
        <v>46388.4</v>
      </c>
      <c r="BM61" s="79">
        <v>83928.14</v>
      </c>
      <c r="BN61" s="79">
        <v>1335.51</v>
      </c>
      <c r="BO61" s="79">
        <v>0</v>
      </c>
      <c r="BP61" s="79">
        <v>0</v>
      </c>
      <c r="BQ61" s="79">
        <v>0</v>
      </c>
      <c r="BR61" s="79">
        <v>0</v>
      </c>
      <c r="BS61" s="79">
        <v>0</v>
      </c>
      <c r="BT61" s="79">
        <v>0</v>
      </c>
      <c r="BU61" s="79">
        <v>0</v>
      </c>
      <c r="BV61" s="80">
        <v>0</v>
      </c>
      <c r="BW61" s="80">
        <v>0</v>
      </c>
      <c r="BX61" s="80">
        <v>0</v>
      </c>
      <c r="BY61" s="80">
        <v>0</v>
      </c>
      <c r="BZ61" s="80">
        <v>0</v>
      </c>
      <c r="CA61" s="80">
        <v>0</v>
      </c>
      <c r="CB61" s="80">
        <v>0</v>
      </c>
      <c r="CC61" s="80">
        <v>0</v>
      </c>
      <c r="CD61" s="79">
        <v>0</v>
      </c>
      <c r="CE61" s="79">
        <v>0</v>
      </c>
      <c r="CF61" s="79">
        <v>0</v>
      </c>
      <c r="CG61" s="79">
        <v>0</v>
      </c>
      <c r="CH61" s="79">
        <v>0</v>
      </c>
      <c r="CI61" s="79">
        <v>0</v>
      </c>
      <c r="CJ61" s="79">
        <v>0</v>
      </c>
      <c r="CK61" s="79">
        <v>0</v>
      </c>
      <c r="CL61" s="79">
        <v>0</v>
      </c>
      <c r="CM61" s="79">
        <v>54082.8</v>
      </c>
      <c r="CN61" s="79">
        <v>0</v>
      </c>
      <c r="CO61" s="79">
        <v>0</v>
      </c>
      <c r="CP61" s="79">
        <v>0</v>
      </c>
      <c r="CQ61" s="79">
        <v>2755.1020408163267</v>
      </c>
      <c r="CR61" s="79">
        <v>0</v>
      </c>
      <c r="CS61" s="79">
        <v>25390.629834254141</v>
      </c>
      <c r="CT61" s="79"/>
      <c r="CU61" s="79">
        <v>0</v>
      </c>
      <c r="CV61" s="79"/>
      <c r="CW61" s="79">
        <v>0</v>
      </c>
      <c r="CX61" s="79">
        <v>0</v>
      </c>
      <c r="CY61" s="79">
        <v>0</v>
      </c>
      <c r="CZ61" s="79">
        <v>0</v>
      </c>
      <c r="DA61" s="79">
        <v>45200</v>
      </c>
      <c r="DB61" s="79">
        <v>95983.882009582958</v>
      </c>
      <c r="DC61" s="82">
        <v>0</v>
      </c>
      <c r="DD61" s="79">
        <v>0</v>
      </c>
      <c r="DE61" s="79"/>
      <c r="DF61" s="79">
        <v>2100</v>
      </c>
      <c r="DG61" s="79">
        <v>0</v>
      </c>
      <c r="DH61" s="83">
        <v>0</v>
      </c>
      <c r="DI61" s="79">
        <v>14262.119171951557</v>
      </c>
      <c r="DJ61" s="79">
        <v>6446477.8657221021</v>
      </c>
      <c r="DK61" s="84">
        <v>-54556.865722102113</v>
      </c>
      <c r="DL61" s="84">
        <v>0</v>
      </c>
      <c r="DM61" s="84">
        <f t="shared" si="16"/>
        <v>6391921</v>
      </c>
      <c r="DN61" s="84">
        <f>'[7]FY20 Initial Budget Alloca FTE'!F61*DN$1</f>
        <v>302490.91836734698</v>
      </c>
      <c r="DO61" s="81">
        <f t="shared" si="0"/>
        <v>127581.6</v>
      </c>
      <c r="DP61" s="81">
        <f t="shared" si="17"/>
        <v>4855.1020408163267</v>
      </c>
      <c r="DQ61" s="74">
        <f t="shared" si="18"/>
        <v>170054.21632653064</v>
      </c>
      <c r="DR61" s="85">
        <f t="shared" si="36"/>
        <v>0.56217957631381077</v>
      </c>
      <c r="DS61" s="81">
        <f t="shared" si="19"/>
        <v>4264545.4957020581</v>
      </c>
      <c r="DT61" s="81">
        <f t="shared" si="1"/>
        <v>1584592.3254547527</v>
      </c>
      <c r="DU61" s="81">
        <f t="shared" si="2"/>
        <v>109114.27619794433</v>
      </c>
      <c r="DV61" s="81">
        <f t="shared" si="34"/>
        <v>131652.05000000002</v>
      </c>
      <c r="DW61" s="81">
        <f t="shared" si="29"/>
        <v>0</v>
      </c>
      <c r="DX61" s="81">
        <f t="shared" si="30"/>
        <v>0</v>
      </c>
      <c r="DY61" s="81">
        <f t="shared" si="31"/>
        <v>0</v>
      </c>
      <c r="DZ61" s="81">
        <f t="shared" si="32"/>
        <v>54082.8</v>
      </c>
      <c r="EA61" s="74">
        <f t="shared" si="8"/>
        <v>170054.21632653064</v>
      </c>
      <c r="EB61" s="81">
        <f t="shared" si="33"/>
        <v>127581.6</v>
      </c>
      <c r="EC61" s="81">
        <f t="shared" si="33"/>
        <v>4855.1020408163267</v>
      </c>
      <c r="ED61" s="86">
        <f t="shared" si="20"/>
        <v>0.56217957631381077</v>
      </c>
      <c r="EE61" s="81">
        <f t="shared" si="21"/>
        <v>302490.91836734698</v>
      </c>
      <c r="EF61" s="81">
        <f t="shared" si="22"/>
        <v>6446477.8657221021</v>
      </c>
      <c r="EG61" s="81">
        <f t="shared" si="10"/>
        <v>0</v>
      </c>
      <c r="EH61" s="81">
        <v>6007484.4985292349</v>
      </c>
      <c r="EI61" s="84">
        <f t="shared" si="35"/>
        <v>6392395.0657221023</v>
      </c>
      <c r="EJ61" s="74">
        <f t="shared" si="12"/>
        <v>438993.36719286721</v>
      </c>
      <c r="EK61" s="74">
        <f t="shared" si="13"/>
        <v>384910.5671928674</v>
      </c>
      <c r="EM61" s="88">
        <f t="shared" si="14"/>
        <v>452</v>
      </c>
      <c r="EN61" s="74">
        <v>421</v>
      </c>
      <c r="EO61" s="74">
        <f t="shared" si="15"/>
        <v>31</v>
      </c>
      <c r="EP61" s="72">
        <v>439</v>
      </c>
      <c r="EQ61" s="74">
        <f t="shared" si="23"/>
        <v>18</v>
      </c>
      <c r="ER61" s="72">
        <v>415</v>
      </c>
      <c r="ES61" s="74">
        <f t="shared" si="24"/>
        <v>37</v>
      </c>
      <c r="ET61" s="74"/>
      <c r="EU61" s="74"/>
      <c r="EV61" s="74"/>
      <c r="EW61" s="89"/>
      <c r="EX61" s="81">
        <f t="shared" si="26"/>
        <v>6089313.4018374495</v>
      </c>
      <c r="EY61" s="81">
        <f t="shared" si="27"/>
        <v>357164.46388465347</v>
      </c>
    </row>
    <row r="62" spans="1:155" x14ac:dyDescent="0.25">
      <c r="A62" s="76">
        <v>884</v>
      </c>
      <c r="B62" s="76" t="s">
        <v>201</v>
      </c>
      <c r="C62" s="77" t="s">
        <v>138</v>
      </c>
      <c r="D62" s="41">
        <v>5</v>
      </c>
      <c r="E62" s="78">
        <v>269</v>
      </c>
      <c r="F62" s="78">
        <v>0</v>
      </c>
      <c r="G62" s="79">
        <v>173177.12015668923</v>
      </c>
      <c r="H62" s="79">
        <v>109114.27619794433</v>
      </c>
      <c r="I62" s="79">
        <v>126355.69814102032</v>
      </c>
      <c r="J62" s="79">
        <v>0</v>
      </c>
      <c r="K62" s="79">
        <v>127926.27765154414</v>
      </c>
      <c r="L62" s="79">
        <v>40788.660078344612</v>
      </c>
      <c r="M62" s="79">
        <v>59319.676384927567</v>
      </c>
      <c r="N62" s="79">
        <v>0</v>
      </c>
      <c r="O62" s="79">
        <v>50130.026384927565</v>
      </c>
      <c r="P62" s="79">
        <v>62573.586746740584</v>
      </c>
      <c r="Q62" s="79"/>
      <c r="R62" s="79">
        <v>69375.836746740591</v>
      </c>
      <c r="S62" s="79">
        <v>54629.386746740587</v>
      </c>
      <c r="T62" s="79">
        <v>48958.736746740586</v>
      </c>
      <c r="U62" s="79">
        <v>54557.138098972166</v>
      </c>
      <c r="V62" s="79">
        <v>0</v>
      </c>
      <c r="W62" s="79">
        <v>0</v>
      </c>
      <c r="X62" s="79">
        <v>0</v>
      </c>
      <c r="Y62" s="79">
        <v>0</v>
      </c>
      <c r="Z62" s="79"/>
      <c r="AA62" s="79">
        <v>0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79">
        <v>0</v>
      </c>
      <c r="AJ62" s="79">
        <v>0</v>
      </c>
      <c r="AK62" s="79">
        <v>0</v>
      </c>
      <c r="AL62" s="79">
        <v>0</v>
      </c>
      <c r="AM62" s="79">
        <v>0</v>
      </c>
      <c r="AN62" s="79">
        <v>0</v>
      </c>
      <c r="AO62" s="79">
        <v>0</v>
      </c>
      <c r="AP62" s="79">
        <v>0</v>
      </c>
      <c r="AQ62" s="79">
        <v>250962.83525527193</v>
      </c>
      <c r="AR62" s="79">
        <v>272785.69049486081</v>
      </c>
      <c r="AS62" s="79">
        <v>392811.39431259962</v>
      </c>
      <c r="AT62" s="79">
        <v>305519.97335424408</v>
      </c>
      <c r="AU62" s="79">
        <v>0</v>
      </c>
      <c r="AV62" s="79"/>
      <c r="AW62" s="79">
        <v>0</v>
      </c>
      <c r="AX62" s="79">
        <v>109114.27619794433</v>
      </c>
      <c r="AY62" s="79">
        <v>218228.55239588866</v>
      </c>
      <c r="AZ62" s="79">
        <v>654685.65718766605</v>
      </c>
      <c r="BA62" s="79">
        <v>0</v>
      </c>
      <c r="BB62" s="79">
        <v>0</v>
      </c>
      <c r="BC62" s="79">
        <v>0</v>
      </c>
      <c r="BD62" s="79">
        <v>109114.27619794433</v>
      </c>
      <c r="BE62" s="79">
        <v>0</v>
      </c>
      <c r="BF62" s="79">
        <v>0</v>
      </c>
      <c r="BG62" s="79">
        <v>0</v>
      </c>
      <c r="BH62" s="79">
        <v>0</v>
      </c>
      <c r="BI62" s="79">
        <v>0</v>
      </c>
      <c r="BJ62" s="79">
        <v>70000</v>
      </c>
      <c r="BK62" s="79">
        <v>0</v>
      </c>
      <c r="BL62" s="79"/>
      <c r="BM62" s="79">
        <v>83008.179999999993</v>
      </c>
      <c r="BN62" s="79">
        <v>1320.87</v>
      </c>
      <c r="BO62" s="79">
        <v>0</v>
      </c>
      <c r="BP62" s="79">
        <v>0</v>
      </c>
      <c r="BQ62" s="79">
        <v>0</v>
      </c>
      <c r="BR62" s="79">
        <v>0</v>
      </c>
      <c r="BS62" s="79">
        <v>0</v>
      </c>
      <c r="BT62" s="79">
        <v>0</v>
      </c>
      <c r="BU62" s="79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80">
        <v>0</v>
      </c>
      <c r="CC62" s="80">
        <v>0</v>
      </c>
      <c r="CD62" s="79">
        <v>0</v>
      </c>
      <c r="CE62" s="79">
        <v>0</v>
      </c>
      <c r="CF62" s="79">
        <v>0</v>
      </c>
      <c r="CG62" s="79">
        <v>0</v>
      </c>
      <c r="CH62" s="79">
        <v>0</v>
      </c>
      <c r="CI62" s="79">
        <v>0</v>
      </c>
      <c r="CJ62" s="79">
        <v>0</v>
      </c>
      <c r="CK62" s="79">
        <v>0</v>
      </c>
      <c r="CL62" s="79">
        <v>0</v>
      </c>
      <c r="CM62" s="79">
        <v>311349.09999999998</v>
      </c>
      <c r="CN62" s="79">
        <v>0</v>
      </c>
      <c r="CO62" s="79">
        <v>0</v>
      </c>
      <c r="CP62" s="79">
        <v>0</v>
      </c>
      <c r="CQ62" s="79">
        <v>0</v>
      </c>
      <c r="CR62" s="79">
        <v>0</v>
      </c>
      <c r="CS62" s="79">
        <v>34398.781600000002</v>
      </c>
      <c r="CT62" s="79">
        <v>105202</v>
      </c>
      <c r="CV62" s="79">
        <v>150000</v>
      </c>
      <c r="CX62" s="79">
        <v>0</v>
      </c>
      <c r="CY62" s="79">
        <v>0</v>
      </c>
      <c r="CZ62" s="79">
        <v>0</v>
      </c>
      <c r="DA62" s="79">
        <v>26900</v>
      </c>
      <c r="DB62" s="79">
        <v>54664.830315191815</v>
      </c>
      <c r="DC62" s="82">
        <v>0</v>
      </c>
      <c r="DD62" s="79">
        <v>0</v>
      </c>
      <c r="DE62" s="79">
        <v>2750</v>
      </c>
      <c r="DG62" s="79">
        <v>0</v>
      </c>
      <c r="DH62" s="83">
        <v>0</v>
      </c>
      <c r="DI62" s="79">
        <v>15352.129507036967</v>
      </c>
      <c r="DJ62" s="79">
        <v>4129722.8373929444</v>
      </c>
      <c r="DK62" s="84">
        <v>2.6070554740726948E-3</v>
      </c>
      <c r="DL62" s="84">
        <v>0</v>
      </c>
      <c r="DM62" s="84">
        <f t="shared" si="16"/>
        <v>4129722.84</v>
      </c>
      <c r="DN62" s="84">
        <f>'[7]FY20 Initial Budget Alloca FTE'!F62*DN$1</f>
        <v>0</v>
      </c>
      <c r="DO62" s="81">
        <f t="shared" si="0"/>
        <v>0</v>
      </c>
      <c r="DP62" s="81">
        <f t="shared" si="17"/>
        <v>0</v>
      </c>
      <c r="DQ62" s="74">
        <f t="shared" si="18"/>
        <v>0</v>
      </c>
      <c r="DR62" s="85"/>
      <c r="DS62" s="81">
        <f t="shared" si="19"/>
        <v>2642901.9254135005</v>
      </c>
      <c r="DT62" s="81">
        <f t="shared" si="1"/>
        <v>982028.48578149907</v>
      </c>
      <c r="DU62" s="81">
        <f t="shared" si="2"/>
        <v>109114.27619794433</v>
      </c>
      <c r="DV62" s="81">
        <f t="shared" si="34"/>
        <v>84329.049999999988</v>
      </c>
      <c r="DW62" s="81">
        <f t="shared" si="29"/>
        <v>0</v>
      </c>
      <c r="DX62" s="81">
        <f t="shared" si="30"/>
        <v>0</v>
      </c>
      <c r="DY62" s="81">
        <f t="shared" si="31"/>
        <v>0</v>
      </c>
      <c r="DZ62" s="81">
        <f t="shared" si="32"/>
        <v>311349.09999999998</v>
      </c>
      <c r="EA62" s="74">
        <f t="shared" si="8"/>
        <v>0</v>
      </c>
      <c r="EB62" s="81">
        <f t="shared" si="33"/>
        <v>0</v>
      </c>
      <c r="EC62" s="81">
        <f t="shared" si="33"/>
        <v>0</v>
      </c>
      <c r="ED62" s="86" t="s">
        <v>142</v>
      </c>
      <c r="EE62" s="81">
        <f t="shared" si="21"/>
        <v>0</v>
      </c>
      <c r="EF62" s="81">
        <f t="shared" si="22"/>
        <v>4129722.8373929439</v>
      </c>
      <c r="EG62" s="81">
        <f t="shared" si="10"/>
        <v>0</v>
      </c>
      <c r="EH62" s="81">
        <v>3654062.6682904875</v>
      </c>
      <c r="EI62" s="84">
        <f t="shared" si="35"/>
        <v>3818373.7373929443</v>
      </c>
      <c r="EJ62" s="74">
        <f t="shared" si="12"/>
        <v>475660.16910245689</v>
      </c>
      <c r="EK62" s="74">
        <f t="shared" si="13"/>
        <v>164311.06910245679</v>
      </c>
      <c r="EM62" s="88">
        <f t="shared" si="14"/>
        <v>269</v>
      </c>
      <c r="EN62" s="74">
        <v>273</v>
      </c>
      <c r="EO62" s="74">
        <f t="shared" si="15"/>
        <v>-4</v>
      </c>
      <c r="EP62" s="72">
        <v>288</v>
      </c>
      <c r="EQ62" s="74">
        <f t="shared" si="23"/>
        <v>15</v>
      </c>
      <c r="ER62" s="72">
        <v>267</v>
      </c>
      <c r="ES62" s="74">
        <f t="shared" si="24"/>
        <v>2</v>
      </c>
      <c r="ET62" s="74"/>
      <c r="EU62" s="74"/>
      <c r="EV62" s="74"/>
      <c r="EW62" s="89"/>
      <c r="EX62" s="81">
        <f>SUM(G62:BI62,BP62:BV62,CA62:CB62,CD62:CI62,CO62,CT62,CX62)</f>
        <v>3395331.0754777524</v>
      </c>
      <c r="EY62" s="81">
        <f>SUM(BK62:BO62,BW62:BZ62,CC62,CK62:CN62,CP62:CS62,CV62,CY62:DH62)</f>
        <v>664391.76191519178</v>
      </c>
    </row>
    <row r="63" spans="1:155" x14ac:dyDescent="0.25">
      <c r="A63" s="76">
        <v>420</v>
      </c>
      <c r="B63" s="76" t="s">
        <v>202</v>
      </c>
      <c r="C63" s="77" t="s">
        <v>152</v>
      </c>
      <c r="D63" s="41">
        <v>4</v>
      </c>
      <c r="E63" s="78">
        <v>513</v>
      </c>
      <c r="F63" s="78">
        <v>358.04225352112672</v>
      </c>
      <c r="G63" s="79">
        <v>173177.12015668923</v>
      </c>
      <c r="H63" s="79">
        <v>109114.27619794433</v>
      </c>
      <c r="I63" s="79">
        <v>238671.87426637168</v>
      </c>
      <c r="J63" s="79">
        <v>141848.55905732763</v>
      </c>
      <c r="K63" s="79">
        <v>0</v>
      </c>
      <c r="L63" s="79">
        <v>81577.320156689224</v>
      </c>
      <c r="M63" s="79">
        <v>59319.676384927567</v>
      </c>
      <c r="N63" s="79">
        <v>58025.924300405837</v>
      </c>
      <c r="O63" s="79">
        <v>0</v>
      </c>
      <c r="P63" s="79">
        <v>0</v>
      </c>
      <c r="Q63" s="79"/>
      <c r="R63" s="79">
        <v>69375.836746740591</v>
      </c>
      <c r="S63" s="79">
        <v>54629.386746740587</v>
      </c>
      <c r="T63" s="79">
        <v>195834.94698696234</v>
      </c>
      <c r="U63" s="79">
        <v>109114.27619794433</v>
      </c>
      <c r="V63" s="79">
        <v>0</v>
      </c>
      <c r="W63" s="79">
        <v>0</v>
      </c>
      <c r="X63" s="79">
        <v>0</v>
      </c>
      <c r="Y63" s="79">
        <v>0</v>
      </c>
      <c r="Z63" s="79"/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1036585.6238804711</v>
      </c>
      <c r="AO63" s="79">
        <v>1134788.472458621</v>
      </c>
      <c r="AP63" s="79">
        <v>370988.53907301073</v>
      </c>
      <c r="AQ63" s="79">
        <v>0</v>
      </c>
      <c r="AR63" s="79">
        <v>0</v>
      </c>
      <c r="AS63" s="79">
        <v>0</v>
      </c>
      <c r="AT63" s="79">
        <v>0</v>
      </c>
      <c r="AU63" s="79">
        <v>0</v>
      </c>
      <c r="AV63" s="79"/>
      <c r="AW63" s="79">
        <v>0</v>
      </c>
      <c r="AX63" s="79">
        <v>109114.27619794433</v>
      </c>
      <c r="AY63" s="79">
        <v>218228.55239588866</v>
      </c>
      <c r="AZ63" s="79">
        <v>982028.48578149895</v>
      </c>
      <c r="BA63" s="79">
        <v>0</v>
      </c>
      <c r="BB63" s="79">
        <v>0</v>
      </c>
      <c r="BC63" s="79">
        <v>0</v>
      </c>
      <c r="BD63" s="79">
        <v>982028.48578149895</v>
      </c>
      <c r="BE63" s="79">
        <v>0</v>
      </c>
      <c r="BF63" s="79">
        <v>218228.55239588866</v>
      </c>
      <c r="BG63" s="79">
        <v>0</v>
      </c>
      <c r="BH63" s="79">
        <v>0</v>
      </c>
      <c r="BI63" s="79">
        <v>0</v>
      </c>
      <c r="BJ63" s="79"/>
      <c r="BK63" s="79">
        <v>0</v>
      </c>
      <c r="BL63" s="79"/>
      <c r="BM63" s="79">
        <v>62751.37</v>
      </c>
      <c r="BN63" s="79">
        <v>998.54</v>
      </c>
      <c r="BO63" s="79">
        <v>0</v>
      </c>
      <c r="BP63" s="79">
        <v>0</v>
      </c>
      <c r="BQ63" s="79">
        <v>0</v>
      </c>
      <c r="BR63" s="79">
        <v>0</v>
      </c>
      <c r="BS63" s="79">
        <v>0</v>
      </c>
      <c r="BT63" s="79">
        <v>0</v>
      </c>
      <c r="BU63" s="79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80">
        <v>0</v>
      </c>
      <c r="CC63" s="80">
        <v>0</v>
      </c>
      <c r="CD63" s="79">
        <v>0</v>
      </c>
      <c r="CE63" s="79">
        <v>0</v>
      </c>
      <c r="CF63" s="79">
        <v>0</v>
      </c>
      <c r="CG63" s="79">
        <v>0</v>
      </c>
      <c r="CH63" s="79">
        <v>0</v>
      </c>
      <c r="CI63" s="79">
        <v>327342.82859383302</v>
      </c>
      <c r="CJ63" s="79">
        <v>0</v>
      </c>
      <c r="CK63" s="79">
        <v>23000</v>
      </c>
      <c r="CL63" s="79">
        <v>5000</v>
      </c>
      <c r="CM63" s="79">
        <v>362651.6</v>
      </c>
      <c r="CN63" s="79">
        <v>100000</v>
      </c>
      <c r="CO63" s="79">
        <v>0</v>
      </c>
      <c r="CP63" s="79">
        <v>0</v>
      </c>
      <c r="CQ63" s="79">
        <v>7160.8450704225343</v>
      </c>
      <c r="CR63" s="79">
        <v>39240</v>
      </c>
      <c r="CS63" s="79">
        <v>46657.599999999999</v>
      </c>
      <c r="CT63" s="79"/>
      <c r="CU63" s="79">
        <v>0</v>
      </c>
      <c r="CV63" s="79"/>
      <c r="CW63" s="79">
        <v>0</v>
      </c>
      <c r="CX63" s="79">
        <v>105202</v>
      </c>
      <c r="CY63" s="79">
        <v>0</v>
      </c>
      <c r="CZ63" s="79">
        <v>0</v>
      </c>
      <c r="DA63" s="79">
        <v>51300</v>
      </c>
      <c r="DB63" s="79">
        <v>109629.13452149414</v>
      </c>
      <c r="DC63" s="82">
        <v>0</v>
      </c>
      <c r="DD63" s="79">
        <v>0</v>
      </c>
      <c r="DE63" s="79"/>
      <c r="DF63" s="79">
        <v>13750</v>
      </c>
      <c r="DG63" s="79">
        <v>0</v>
      </c>
      <c r="DH63" s="83">
        <v>0</v>
      </c>
      <c r="DI63" s="79">
        <v>14809.676614716018</v>
      </c>
      <c r="DJ63" s="79">
        <v>7597364.103349315</v>
      </c>
      <c r="DK63" s="84">
        <v>0.73665068484842777</v>
      </c>
      <c r="DL63" s="84">
        <v>0</v>
      </c>
      <c r="DM63" s="84">
        <f t="shared" si="16"/>
        <v>7597364.8399999999</v>
      </c>
      <c r="DN63" s="84">
        <f>'[7]FY20 Initial Budget Alloca FTE'!F63*DN$1</f>
        <v>786210.66281690134</v>
      </c>
      <c r="DO63" s="81">
        <f t="shared" si="0"/>
        <v>0</v>
      </c>
      <c r="DP63" s="81">
        <f t="shared" si="17"/>
        <v>60150.845070422532</v>
      </c>
      <c r="DQ63" s="74">
        <f t="shared" si="18"/>
        <v>726059.81774647883</v>
      </c>
      <c r="DR63" s="85">
        <f t="shared" ref="DR63:DR88" si="37">DQ63/DN63</f>
        <v>0.92349271268477962</v>
      </c>
      <c r="DS63" s="81">
        <f t="shared" si="19"/>
        <v>3875123.5779796932</v>
      </c>
      <c r="DT63" s="81">
        <f t="shared" si="1"/>
        <v>1309371.3143753321</v>
      </c>
      <c r="DU63" s="81">
        <f t="shared" si="2"/>
        <v>1200257.0381773876</v>
      </c>
      <c r="DV63" s="81">
        <f t="shared" si="34"/>
        <v>63749.91</v>
      </c>
      <c r="DW63" s="81">
        <f t="shared" si="29"/>
        <v>0</v>
      </c>
      <c r="DX63" s="81">
        <f t="shared" si="30"/>
        <v>0</v>
      </c>
      <c r="DY63" s="81">
        <f t="shared" si="31"/>
        <v>0</v>
      </c>
      <c r="DZ63" s="81">
        <f t="shared" si="32"/>
        <v>362651.6</v>
      </c>
      <c r="EA63" s="74">
        <f t="shared" si="8"/>
        <v>726059.81774647883</v>
      </c>
      <c r="EB63" s="81">
        <f t="shared" si="33"/>
        <v>0</v>
      </c>
      <c r="EC63" s="81">
        <f t="shared" si="33"/>
        <v>60150.845070422532</v>
      </c>
      <c r="ED63" s="86">
        <f t="shared" si="20"/>
        <v>0.92349271268477962</v>
      </c>
      <c r="EE63" s="81">
        <f t="shared" si="21"/>
        <v>786210.66281690134</v>
      </c>
      <c r="EF63" s="81">
        <f t="shared" si="22"/>
        <v>7597364.1033493141</v>
      </c>
      <c r="EG63" s="81">
        <f t="shared" si="10"/>
        <v>0</v>
      </c>
      <c r="EH63" s="81">
        <v>4746728.7520803837</v>
      </c>
      <c r="EI63" s="84">
        <f t="shared" si="35"/>
        <v>7234712.5033493154</v>
      </c>
      <c r="EJ63" s="74">
        <f t="shared" si="12"/>
        <v>2850635.3512689313</v>
      </c>
      <c r="EK63" s="74">
        <f t="shared" si="13"/>
        <v>2487983.7512689317</v>
      </c>
      <c r="EM63" s="88">
        <f t="shared" si="14"/>
        <v>513</v>
      </c>
      <c r="EN63" s="74">
        <v>344</v>
      </c>
      <c r="EO63" s="74">
        <f t="shared" si="15"/>
        <v>169</v>
      </c>
      <c r="EP63" s="72">
        <v>354</v>
      </c>
      <c r="EQ63" s="74">
        <f t="shared" si="23"/>
        <v>10</v>
      </c>
      <c r="ER63" s="72">
        <v>213</v>
      </c>
      <c r="ES63" s="74">
        <f t="shared" si="24"/>
        <v>300</v>
      </c>
      <c r="ET63" s="74"/>
      <c r="EU63" s="74"/>
      <c r="EV63" s="74"/>
      <c r="EW63" s="89"/>
      <c r="EX63" s="81">
        <f t="shared" ref="EX63:EX88" si="38">SUM(G63:BI63,BP63:BV63,CA63:CB63,CD63:CI63,CO63,CU63,CX63)</f>
        <v>6775225.0137573993</v>
      </c>
      <c r="EY63" s="81">
        <f t="shared" ref="EY63:EY88" si="39">SUM(BK63:BO63,BW63:BZ63,CC63,CK63:CN63,CP63:CS63,CW63,CY63:DH63)</f>
        <v>822139.08959191665</v>
      </c>
    </row>
    <row r="64" spans="1:155" x14ac:dyDescent="0.25">
      <c r="A64" s="76">
        <v>308</v>
      </c>
      <c r="B64" s="76" t="s">
        <v>203</v>
      </c>
      <c r="C64" s="77" t="s">
        <v>135</v>
      </c>
      <c r="D64" s="41">
        <v>8</v>
      </c>
      <c r="E64" s="78">
        <v>239</v>
      </c>
      <c r="F64" s="78">
        <v>215.52873563218392</v>
      </c>
      <c r="G64" s="79">
        <v>173177.12015668923</v>
      </c>
      <c r="H64" s="79">
        <v>109114.27619794433</v>
      </c>
      <c r="I64" s="79">
        <v>0</v>
      </c>
      <c r="J64" s="79">
        <v>0</v>
      </c>
      <c r="K64" s="79">
        <v>0</v>
      </c>
      <c r="L64" s="79">
        <v>40788.660078344612</v>
      </c>
      <c r="M64" s="79">
        <v>59319.676384927567</v>
      </c>
      <c r="N64" s="79">
        <v>0</v>
      </c>
      <c r="O64" s="79">
        <v>0</v>
      </c>
      <c r="P64" s="79">
        <v>0</v>
      </c>
      <c r="Q64" s="79"/>
      <c r="R64" s="79">
        <v>69375.836746740591</v>
      </c>
      <c r="S64" s="79">
        <v>54629.386746740587</v>
      </c>
      <c r="T64" s="79">
        <v>48958.736746740586</v>
      </c>
      <c r="U64" s="79">
        <v>54557.138098972166</v>
      </c>
      <c r="V64" s="79">
        <v>109114.27619794433</v>
      </c>
      <c r="W64" s="79">
        <v>109114.27619794433</v>
      </c>
      <c r="X64" s="79">
        <v>109114.27619794433</v>
      </c>
      <c r="Y64" s="79">
        <v>0</v>
      </c>
      <c r="Z64" s="79"/>
      <c r="AA64" s="79">
        <v>218228.55239588866</v>
      </c>
      <c r="AB64" s="79">
        <v>68805.252769855142</v>
      </c>
      <c r="AC64" s="79">
        <v>0</v>
      </c>
      <c r="AD64" s="79">
        <v>0</v>
      </c>
      <c r="AE64" s="79">
        <v>218228.55239588866</v>
      </c>
      <c r="AF64" s="79">
        <v>68805.252769855142</v>
      </c>
      <c r="AG64" s="79">
        <v>218228.55239588866</v>
      </c>
      <c r="AH64" s="79">
        <v>68805.252769855142</v>
      </c>
      <c r="AI64" s="79">
        <v>109114.27619794433</v>
      </c>
      <c r="AJ64" s="79">
        <v>218228.55239588866</v>
      </c>
      <c r="AK64" s="79">
        <v>218228.55239588866</v>
      </c>
      <c r="AL64" s="79">
        <v>109114.27619794433</v>
      </c>
      <c r="AM64" s="79">
        <v>218228.55239588866</v>
      </c>
      <c r="AN64" s="79">
        <v>0</v>
      </c>
      <c r="AO64" s="79">
        <v>0</v>
      </c>
      <c r="AP64" s="79">
        <v>0</v>
      </c>
      <c r="AQ64" s="79">
        <v>0</v>
      </c>
      <c r="AR64" s="79">
        <v>0</v>
      </c>
      <c r="AS64" s="79">
        <v>0</v>
      </c>
      <c r="AT64" s="79">
        <v>0</v>
      </c>
      <c r="AU64" s="79">
        <v>0</v>
      </c>
      <c r="AV64" s="79"/>
      <c r="AW64" s="79">
        <v>0</v>
      </c>
      <c r="AX64" s="79">
        <v>109114.27619794433</v>
      </c>
      <c r="AY64" s="79">
        <v>163671.41429691651</v>
      </c>
      <c r="AZ64" s="79">
        <v>436457.10479177732</v>
      </c>
      <c r="BA64" s="79">
        <v>34402.626384927571</v>
      </c>
      <c r="BB64" s="79">
        <v>48063.47638492757</v>
      </c>
      <c r="BC64" s="79">
        <v>0</v>
      </c>
      <c r="BD64" s="79">
        <v>0</v>
      </c>
      <c r="BE64" s="79">
        <v>0</v>
      </c>
      <c r="BF64" s="79">
        <v>0</v>
      </c>
      <c r="BG64" s="79">
        <v>0</v>
      </c>
      <c r="BH64" s="79">
        <v>0</v>
      </c>
      <c r="BI64" s="79">
        <v>0</v>
      </c>
      <c r="BJ64" s="79"/>
      <c r="BK64" s="79">
        <v>0</v>
      </c>
      <c r="BL64" s="79">
        <v>17208.599999999999</v>
      </c>
      <c r="BM64" s="79">
        <v>119798.06</v>
      </c>
      <c r="BN64" s="79">
        <v>1906.3</v>
      </c>
      <c r="BO64" s="79">
        <v>0</v>
      </c>
      <c r="BP64" s="79">
        <v>0</v>
      </c>
      <c r="BQ64" s="79">
        <v>0</v>
      </c>
      <c r="BR64" s="79">
        <v>0</v>
      </c>
      <c r="BS64" s="79">
        <v>0</v>
      </c>
      <c r="BT64" s="79">
        <v>0</v>
      </c>
      <c r="BU64" s="79">
        <v>0</v>
      </c>
      <c r="BV64" s="80">
        <v>0</v>
      </c>
      <c r="BW64" s="80">
        <v>0</v>
      </c>
      <c r="BX64" s="80">
        <v>0</v>
      </c>
      <c r="BY64" s="80">
        <v>0</v>
      </c>
      <c r="BZ64" s="80">
        <v>0</v>
      </c>
      <c r="CA64" s="80">
        <v>0</v>
      </c>
      <c r="CB64" s="80">
        <v>0</v>
      </c>
      <c r="CC64" s="80">
        <v>0</v>
      </c>
      <c r="CD64" s="79">
        <v>0</v>
      </c>
      <c r="CE64" s="79">
        <v>0</v>
      </c>
      <c r="CF64" s="79">
        <v>0</v>
      </c>
      <c r="CG64" s="79">
        <v>0</v>
      </c>
      <c r="CH64" s="79">
        <v>0</v>
      </c>
      <c r="CI64" s="79">
        <v>0</v>
      </c>
      <c r="CJ64" s="79">
        <v>0</v>
      </c>
      <c r="CK64" s="79">
        <v>0</v>
      </c>
      <c r="CL64" s="79">
        <v>0</v>
      </c>
      <c r="CM64" s="79">
        <v>54082.8</v>
      </c>
      <c r="CN64" s="79">
        <v>0</v>
      </c>
      <c r="CO64" s="79">
        <v>0</v>
      </c>
      <c r="CP64" s="79">
        <v>0</v>
      </c>
      <c r="CQ64" s="79">
        <v>8621.1494252873563</v>
      </c>
      <c r="CR64" s="79">
        <v>0</v>
      </c>
      <c r="CS64" s="79">
        <v>14160.10576923077</v>
      </c>
      <c r="CT64" s="79"/>
      <c r="CU64" s="79">
        <v>0</v>
      </c>
      <c r="CV64" s="79"/>
      <c r="CW64" s="79">
        <v>0</v>
      </c>
      <c r="CX64" s="79">
        <v>0</v>
      </c>
      <c r="CY64" s="79">
        <v>0</v>
      </c>
      <c r="CZ64" s="79">
        <v>0</v>
      </c>
      <c r="DA64" s="79">
        <v>23900</v>
      </c>
      <c r="DB64" s="79">
        <v>55754.109744500209</v>
      </c>
      <c r="DC64" s="82">
        <v>0</v>
      </c>
      <c r="DD64" s="79">
        <v>15363.214285714286</v>
      </c>
      <c r="DE64" s="79"/>
      <c r="DF64" s="79">
        <v>18000</v>
      </c>
      <c r="DG64" s="79">
        <v>0</v>
      </c>
      <c r="DH64" s="83">
        <v>0</v>
      </c>
      <c r="DI64" s="79">
        <v>15793.196326832402</v>
      </c>
      <c r="DJ64" s="79">
        <v>3774573.9221129436</v>
      </c>
      <c r="DK64" s="84">
        <v>173838.0778870564</v>
      </c>
      <c r="DL64" s="84">
        <v>0</v>
      </c>
      <c r="DM64" s="84">
        <f t="shared" si="16"/>
        <v>3948412</v>
      </c>
      <c r="DN64" s="84">
        <f>'[7]FY20 Initial Budget Alloca FTE'!F64*DN$1</f>
        <v>473270.92942528741</v>
      </c>
      <c r="DO64" s="81">
        <f t="shared" si="0"/>
        <v>0</v>
      </c>
      <c r="DP64" s="81">
        <f t="shared" si="17"/>
        <v>26621.149425287356</v>
      </c>
      <c r="DQ64" s="74">
        <f t="shared" si="18"/>
        <v>446649.78</v>
      </c>
      <c r="DR64" s="85">
        <f t="shared" si="37"/>
        <v>0.9437507191544291</v>
      </c>
      <c r="DS64" s="81">
        <f t="shared" si="19"/>
        <v>2318443.7203454496</v>
      </c>
      <c r="DT64" s="81">
        <f t="shared" si="1"/>
        <v>791708.89805649326</v>
      </c>
      <c r="DU64" s="81">
        <f t="shared" si="2"/>
        <v>0</v>
      </c>
      <c r="DV64" s="81">
        <f t="shared" si="34"/>
        <v>138912.95999999999</v>
      </c>
      <c r="DW64" s="81">
        <f t="shared" si="29"/>
        <v>15363.214285714286</v>
      </c>
      <c r="DX64" s="81">
        <f t="shared" si="30"/>
        <v>0</v>
      </c>
      <c r="DY64" s="81">
        <f t="shared" si="31"/>
        <v>0</v>
      </c>
      <c r="DZ64" s="81">
        <f t="shared" si="32"/>
        <v>54082.8</v>
      </c>
      <c r="EA64" s="74">
        <f t="shared" si="8"/>
        <v>446649.78</v>
      </c>
      <c r="EB64" s="81">
        <f t="shared" si="33"/>
        <v>0</v>
      </c>
      <c r="EC64" s="81">
        <f t="shared" si="33"/>
        <v>26621.149425287356</v>
      </c>
      <c r="ED64" s="86">
        <f t="shared" si="20"/>
        <v>0.9437507191544291</v>
      </c>
      <c r="EE64" s="81">
        <f t="shared" si="21"/>
        <v>473270.92942528741</v>
      </c>
      <c r="EF64" s="81">
        <f t="shared" si="22"/>
        <v>3791782.5221129437</v>
      </c>
      <c r="EG64" s="81">
        <f t="shared" si="10"/>
        <v>-17208.600000000093</v>
      </c>
      <c r="EH64" s="81">
        <v>3814765.7524650884</v>
      </c>
      <c r="EI64" s="84">
        <f t="shared" si="35"/>
        <v>3720491.1221129438</v>
      </c>
      <c r="EJ64" s="74">
        <f t="shared" si="12"/>
        <v>-40191.830352144782</v>
      </c>
      <c r="EK64" s="74">
        <f t="shared" si="13"/>
        <v>-94274.630352144595</v>
      </c>
      <c r="EM64" s="88">
        <f t="shared" si="14"/>
        <v>239</v>
      </c>
      <c r="EN64" s="74">
        <v>261</v>
      </c>
      <c r="EO64" s="74">
        <f t="shared" si="15"/>
        <v>-22</v>
      </c>
      <c r="EP64" s="72">
        <v>242</v>
      </c>
      <c r="EQ64" s="74">
        <f t="shared" si="23"/>
        <v>-19</v>
      </c>
      <c r="ER64" s="72">
        <v>261</v>
      </c>
      <c r="ES64" s="74">
        <f t="shared" si="24"/>
        <v>-22</v>
      </c>
      <c r="ET64" s="74"/>
      <c r="EU64" s="74"/>
      <c r="EV64" s="74"/>
      <c r="EW64" s="89"/>
      <c r="EX64" s="81">
        <f t="shared" si="38"/>
        <v>3462988.1828882112</v>
      </c>
      <c r="EY64" s="81">
        <f t="shared" si="39"/>
        <v>328794.3392247326</v>
      </c>
    </row>
    <row r="65" spans="1:155" x14ac:dyDescent="0.25">
      <c r="A65" s="76">
        <v>273</v>
      </c>
      <c r="B65" s="76" t="s">
        <v>204</v>
      </c>
      <c r="C65" s="77" t="s">
        <v>135</v>
      </c>
      <c r="D65" s="41">
        <v>3</v>
      </c>
      <c r="E65" s="78">
        <v>407</v>
      </c>
      <c r="F65" s="78">
        <v>13.089330024813895</v>
      </c>
      <c r="G65" s="79">
        <v>173177.12015668923</v>
      </c>
      <c r="H65" s="79">
        <v>109114.27619794433</v>
      </c>
      <c r="I65" s="79">
        <v>140395.22015668923</v>
      </c>
      <c r="J65" s="79">
        <v>0</v>
      </c>
      <c r="K65" s="79">
        <v>0</v>
      </c>
      <c r="L65" s="79">
        <v>81577.320156689224</v>
      </c>
      <c r="M65" s="79">
        <v>59319.676384927567</v>
      </c>
      <c r="N65" s="79">
        <v>44635.326384927568</v>
      </c>
      <c r="O65" s="79">
        <v>0</v>
      </c>
      <c r="P65" s="79">
        <v>0</v>
      </c>
      <c r="Q65" s="79"/>
      <c r="R65" s="79">
        <v>69375.836746740591</v>
      </c>
      <c r="S65" s="79">
        <v>54629.386746740587</v>
      </c>
      <c r="T65" s="79">
        <v>97917.473493481171</v>
      </c>
      <c r="U65" s="79">
        <v>109114.27619794433</v>
      </c>
      <c r="V65" s="79">
        <v>109114.27619794433</v>
      </c>
      <c r="W65" s="79">
        <v>109114.27619794433</v>
      </c>
      <c r="X65" s="79">
        <v>109114.27619794433</v>
      </c>
      <c r="Y65" s="79">
        <v>163671.41429691651</v>
      </c>
      <c r="Z65" s="79"/>
      <c r="AA65" s="79">
        <v>0</v>
      </c>
      <c r="AB65" s="79">
        <v>0</v>
      </c>
      <c r="AC65" s="79">
        <v>0</v>
      </c>
      <c r="AD65" s="79">
        <v>0</v>
      </c>
      <c r="AE65" s="79">
        <v>218228.55239588866</v>
      </c>
      <c r="AF65" s="79">
        <v>68805.252769855142</v>
      </c>
      <c r="AG65" s="79">
        <v>327342.82859383302</v>
      </c>
      <c r="AH65" s="79">
        <v>103207.87915478271</v>
      </c>
      <c r="AI65" s="79">
        <v>327342.82859383302</v>
      </c>
      <c r="AJ65" s="79">
        <v>327342.82859383302</v>
      </c>
      <c r="AK65" s="79">
        <v>327342.82859383302</v>
      </c>
      <c r="AL65" s="79">
        <v>327342.82859383302</v>
      </c>
      <c r="AM65" s="79">
        <v>327342.82859383302</v>
      </c>
      <c r="AN65" s="79">
        <v>0</v>
      </c>
      <c r="AO65" s="79">
        <v>0</v>
      </c>
      <c r="AP65" s="79">
        <v>0</v>
      </c>
      <c r="AQ65" s="79">
        <v>0</v>
      </c>
      <c r="AR65" s="79">
        <v>0</v>
      </c>
      <c r="AS65" s="79">
        <v>0</v>
      </c>
      <c r="AT65" s="79">
        <v>0</v>
      </c>
      <c r="AU65" s="79">
        <v>0</v>
      </c>
      <c r="AV65" s="79"/>
      <c r="AW65" s="79">
        <v>0</v>
      </c>
      <c r="AX65" s="79">
        <v>54557.138098972166</v>
      </c>
      <c r="AY65" s="79">
        <v>109114.27619794433</v>
      </c>
      <c r="AZ65" s="79">
        <v>218228.55239588866</v>
      </c>
      <c r="BA65" s="79">
        <v>0</v>
      </c>
      <c r="BB65" s="79">
        <v>0</v>
      </c>
      <c r="BC65" s="79">
        <v>0</v>
      </c>
      <c r="BD65" s="79">
        <v>218228.55239588866</v>
      </c>
      <c r="BE65" s="79">
        <v>0</v>
      </c>
      <c r="BF65" s="79">
        <v>0</v>
      </c>
      <c r="BG65" s="79">
        <v>0</v>
      </c>
      <c r="BH65" s="79">
        <v>0</v>
      </c>
      <c r="BI65" s="79">
        <v>0</v>
      </c>
      <c r="BJ65" s="79"/>
      <c r="BK65" s="79">
        <v>0</v>
      </c>
      <c r="BL65" s="79"/>
      <c r="BM65" s="79">
        <v>0</v>
      </c>
      <c r="BN65" s="79">
        <v>0</v>
      </c>
      <c r="BO65" s="79">
        <v>9975</v>
      </c>
      <c r="BP65" s="79">
        <v>0</v>
      </c>
      <c r="BQ65" s="79">
        <v>0</v>
      </c>
      <c r="BR65" s="79">
        <v>0</v>
      </c>
      <c r="BS65" s="79">
        <v>0</v>
      </c>
      <c r="BT65" s="79">
        <v>0</v>
      </c>
      <c r="BU65" s="79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80">
        <v>0</v>
      </c>
      <c r="CC65" s="80">
        <v>0</v>
      </c>
      <c r="CD65" s="79">
        <v>0</v>
      </c>
      <c r="CE65" s="79">
        <v>0</v>
      </c>
      <c r="CF65" s="79">
        <v>0</v>
      </c>
      <c r="CG65" s="79">
        <v>0</v>
      </c>
      <c r="CH65" s="79">
        <v>0</v>
      </c>
      <c r="CI65" s="79">
        <v>0</v>
      </c>
      <c r="CJ65" s="79">
        <v>0</v>
      </c>
      <c r="CK65" s="79">
        <v>0</v>
      </c>
      <c r="CL65" s="79">
        <v>0</v>
      </c>
      <c r="CM65" s="79">
        <v>54082.8</v>
      </c>
      <c r="CN65" s="79">
        <v>0</v>
      </c>
      <c r="CO65" s="79">
        <v>0</v>
      </c>
      <c r="CP65" s="79">
        <v>0</v>
      </c>
      <c r="CQ65" s="79">
        <v>0</v>
      </c>
      <c r="CR65" s="79">
        <v>0</v>
      </c>
      <c r="CS65" s="79">
        <v>20551.165000000001</v>
      </c>
      <c r="CT65" s="79"/>
      <c r="CU65" s="79">
        <v>0</v>
      </c>
      <c r="CV65" s="79"/>
      <c r="CW65" s="79">
        <v>0</v>
      </c>
      <c r="CX65" s="79">
        <v>0</v>
      </c>
      <c r="CY65" s="79">
        <v>0</v>
      </c>
      <c r="CZ65" s="79">
        <v>0</v>
      </c>
      <c r="DA65" s="79">
        <v>40700</v>
      </c>
      <c r="DB65" s="79">
        <v>70593.627020820437</v>
      </c>
      <c r="DC65" s="82">
        <v>0</v>
      </c>
      <c r="DD65" s="79">
        <v>0</v>
      </c>
      <c r="DE65" s="79"/>
      <c r="DF65" s="79">
        <v>1350</v>
      </c>
      <c r="DG65" s="79">
        <v>0</v>
      </c>
      <c r="DH65" s="83">
        <v>0</v>
      </c>
      <c r="DI65" s="79">
        <v>11257.862217460839</v>
      </c>
      <c r="DJ65" s="79">
        <v>4581949.9225065615</v>
      </c>
      <c r="DK65" s="84">
        <v>-2.5065615773200989E-3</v>
      </c>
      <c r="DL65" s="84">
        <v>0</v>
      </c>
      <c r="DM65" s="84">
        <f t="shared" si="16"/>
        <v>4581949.92</v>
      </c>
      <c r="DN65" s="84">
        <f>'[7]FY20 Initial Budget Alloca FTE'!F65*DN$1</f>
        <v>28742.336228287841</v>
      </c>
      <c r="DO65" s="81">
        <f t="shared" si="0"/>
        <v>0</v>
      </c>
      <c r="DP65" s="81">
        <f t="shared" si="17"/>
        <v>1350</v>
      </c>
      <c r="DQ65" s="74">
        <f t="shared" si="18"/>
        <v>27392.336228287841</v>
      </c>
      <c r="DR65" s="85">
        <f t="shared" si="37"/>
        <v>0.9530309579124836</v>
      </c>
      <c r="DS65" s="81">
        <f t="shared" si="19"/>
        <v>3889021.26718958</v>
      </c>
      <c r="DT65" s="81">
        <f t="shared" si="1"/>
        <v>381899.96669280517</v>
      </c>
      <c r="DU65" s="81">
        <f t="shared" si="2"/>
        <v>218228.55239588866</v>
      </c>
      <c r="DV65" s="81">
        <f t="shared" si="34"/>
        <v>9975</v>
      </c>
      <c r="DW65" s="81">
        <f t="shared" si="29"/>
        <v>0</v>
      </c>
      <c r="DX65" s="81">
        <f t="shared" si="30"/>
        <v>0</v>
      </c>
      <c r="DY65" s="81">
        <f t="shared" si="31"/>
        <v>0</v>
      </c>
      <c r="DZ65" s="81">
        <f t="shared" si="32"/>
        <v>54082.8</v>
      </c>
      <c r="EA65" s="74">
        <f t="shared" si="8"/>
        <v>27392.336228287841</v>
      </c>
      <c r="EB65" s="81">
        <f t="shared" si="33"/>
        <v>0</v>
      </c>
      <c r="EC65" s="81">
        <f t="shared" si="33"/>
        <v>1350</v>
      </c>
      <c r="ED65" s="86">
        <f t="shared" si="20"/>
        <v>0.9530309579124836</v>
      </c>
      <c r="EE65" s="81">
        <f t="shared" si="21"/>
        <v>28742.336228287841</v>
      </c>
      <c r="EF65" s="81">
        <f t="shared" si="22"/>
        <v>4581949.9225065615</v>
      </c>
      <c r="EG65" s="81">
        <f t="shared" si="10"/>
        <v>0</v>
      </c>
      <c r="EH65" s="81">
        <v>4284069.0337464493</v>
      </c>
      <c r="EI65" s="84">
        <f t="shared" si="35"/>
        <v>4527867.1225065617</v>
      </c>
      <c r="EJ65" s="74">
        <f t="shared" si="12"/>
        <v>297880.88876011223</v>
      </c>
      <c r="EK65" s="74">
        <f t="shared" si="13"/>
        <v>243798.08876011241</v>
      </c>
      <c r="EM65" s="88">
        <f t="shared" si="14"/>
        <v>407</v>
      </c>
      <c r="EN65" s="74">
        <v>419</v>
      </c>
      <c r="EO65" s="74">
        <f t="shared" si="15"/>
        <v>-12</v>
      </c>
      <c r="EP65" s="72">
        <v>397</v>
      </c>
      <c r="EQ65" s="74">
        <f t="shared" si="23"/>
        <v>-22</v>
      </c>
      <c r="ER65" s="72">
        <v>428</v>
      </c>
      <c r="ES65" s="74">
        <f t="shared" si="24"/>
        <v>-21</v>
      </c>
      <c r="ET65" s="74"/>
      <c r="EU65" s="74"/>
      <c r="EV65" s="74"/>
      <c r="EW65" s="89"/>
      <c r="EX65" s="81">
        <f t="shared" si="38"/>
        <v>4384697.3304857416</v>
      </c>
      <c r="EY65" s="81">
        <f t="shared" si="39"/>
        <v>197252.59202082042</v>
      </c>
    </row>
    <row r="66" spans="1:155" x14ac:dyDescent="0.25">
      <c r="A66" s="76">
        <v>284</v>
      </c>
      <c r="B66" s="76" t="s">
        <v>205</v>
      </c>
      <c r="C66" s="77" t="s">
        <v>135</v>
      </c>
      <c r="D66" s="41">
        <v>1</v>
      </c>
      <c r="E66" s="78">
        <v>453</v>
      </c>
      <c r="F66" s="78">
        <v>166.85063291139238</v>
      </c>
      <c r="G66" s="79">
        <v>173177.12015668923</v>
      </c>
      <c r="H66" s="79">
        <v>109114.27619794433</v>
      </c>
      <c r="I66" s="79">
        <v>154434.74217235818</v>
      </c>
      <c r="J66" s="79">
        <v>0</v>
      </c>
      <c r="K66" s="79">
        <v>0</v>
      </c>
      <c r="L66" s="79">
        <v>81577.320156689224</v>
      </c>
      <c r="M66" s="79">
        <v>59319.676384927567</v>
      </c>
      <c r="N66" s="79">
        <v>49098.859023420329</v>
      </c>
      <c r="O66" s="79">
        <v>0</v>
      </c>
      <c r="P66" s="79">
        <v>0</v>
      </c>
      <c r="Q66" s="79"/>
      <c r="R66" s="79">
        <v>69375.836746740591</v>
      </c>
      <c r="S66" s="79">
        <v>54629.386746740587</v>
      </c>
      <c r="T66" s="79">
        <v>195834.94698696234</v>
      </c>
      <c r="U66" s="79">
        <v>109114.27619794433</v>
      </c>
      <c r="V66" s="79">
        <v>109114.27619794433</v>
      </c>
      <c r="W66" s="79">
        <v>109114.27619794433</v>
      </c>
      <c r="X66" s="79">
        <v>109114.27619794433</v>
      </c>
      <c r="Y66" s="79">
        <v>163671.41429691651</v>
      </c>
      <c r="Z66" s="79"/>
      <c r="AA66" s="79">
        <v>218228.55239588866</v>
      </c>
      <c r="AB66" s="79">
        <v>68805.252769855142</v>
      </c>
      <c r="AC66" s="79">
        <v>218228.55239588866</v>
      </c>
      <c r="AD66" s="79">
        <v>68805.252769855142</v>
      </c>
      <c r="AE66" s="79">
        <v>218228.55239588866</v>
      </c>
      <c r="AF66" s="79">
        <v>68805.252769855142</v>
      </c>
      <c r="AG66" s="79">
        <v>327342.82859383302</v>
      </c>
      <c r="AH66" s="79">
        <v>103207.87915478271</v>
      </c>
      <c r="AI66" s="79">
        <v>327342.82859383302</v>
      </c>
      <c r="AJ66" s="79">
        <v>327342.82859383302</v>
      </c>
      <c r="AK66" s="79">
        <v>327342.82859383302</v>
      </c>
      <c r="AL66" s="79">
        <v>327342.82859383302</v>
      </c>
      <c r="AM66" s="79">
        <v>218228.55239588866</v>
      </c>
      <c r="AN66" s="79">
        <v>0</v>
      </c>
      <c r="AO66" s="79">
        <v>0</v>
      </c>
      <c r="AP66" s="79">
        <v>0</v>
      </c>
      <c r="AQ66" s="79">
        <v>0</v>
      </c>
      <c r="AR66" s="79">
        <v>0</v>
      </c>
      <c r="AS66" s="79">
        <v>0</v>
      </c>
      <c r="AT66" s="79">
        <v>0</v>
      </c>
      <c r="AU66" s="79">
        <v>0</v>
      </c>
      <c r="AV66" s="79"/>
      <c r="AW66" s="79">
        <v>0</v>
      </c>
      <c r="AX66" s="79">
        <v>109114.27619794433</v>
      </c>
      <c r="AY66" s="79">
        <v>327342.82859383302</v>
      </c>
      <c r="AZ66" s="79">
        <v>545571.38098972163</v>
      </c>
      <c r="BA66" s="79">
        <v>68805.252769855142</v>
      </c>
      <c r="BB66" s="79">
        <v>96126.952769855139</v>
      </c>
      <c r="BC66" s="79">
        <v>0</v>
      </c>
      <c r="BD66" s="79">
        <v>1200257.0381773876</v>
      </c>
      <c r="BE66" s="79">
        <v>0</v>
      </c>
      <c r="BF66" s="79">
        <v>218228.55239588866</v>
      </c>
      <c r="BG66" s="79">
        <f>65846-BL66</f>
        <v>19457.599999999999</v>
      </c>
      <c r="BH66" s="79">
        <v>61732</v>
      </c>
      <c r="BI66" s="79">
        <v>0</v>
      </c>
      <c r="BJ66" s="79"/>
      <c r="BK66" s="79">
        <v>0</v>
      </c>
      <c r="BL66" s="79">
        <v>46388.4</v>
      </c>
      <c r="BM66" s="79">
        <v>202991.16</v>
      </c>
      <c r="BN66" s="79">
        <v>3230.11</v>
      </c>
      <c r="BO66" s="79">
        <v>0</v>
      </c>
      <c r="BP66" s="79">
        <v>0</v>
      </c>
      <c r="BQ66" s="79">
        <v>0</v>
      </c>
      <c r="BR66" s="79">
        <v>0</v>
      </c>
      <c r="BS66" s="79">
        <v>0</v>
      </c>
      <c r="BT66" s="79">
        <v>0</v>
      </c>
      <c r="BU66" s="79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80">
        <v>0</v>
      </c>
      <c r="CC66" s="80">
        <v>0</v>
      </c>
      <c r="CD66" s="79">
        <v>0</v>
      </c>
      <c r="CE66" s="79">
        <v>0</v>
      </c>
      <c r="CF66" s="79">
        <v>0</v>
      </c>
      <c r="CG66" s="79">
        <v>0</v>
      </c>
      <c r="CH66" s="79">
        <v>109114.27619794433</v>
      </c>
      <c r="CI66" s="79">
        <v>0</v>
      </c>
      <c r="CJ66" s="79">
        <v>0</v>
      </c>
      <c r="CK66" s="79">
        <v>0</v>
      </c>
      <c r="CL66" s="79">
        <v>0</v>
      </c>
      <c r="CM66" s="79">
        <v>108165.6</v>
      </c>
      <c r="CN66" s="79">
        <v>0</v>
      </c>
      <c r="CO66" s="79">
        <v>0</v>
      </c>
      <c r="CP66" s="79">
        <v>0</v>
      </c>
      <c r="CQ66" s="79">
        <v>3337.0126582278476</v>
      </c>
      <c r="CR66" s="79">
        <v>0</v>
      </c>
      <c r="CS66" s="79">
        <v>29096.255319148935</v>
      </c>
      <c r="CT66" s="79"/>
      <c r="CU66" s="79">
        <v>0</v>
      </c>
      <c r="CV66" s="79"/>
      <c r="CW66" s="79">
        <v>0</v>
      </c>
      <c r="CX66" s="79">
        <v>0</v>
      </c>
      <c r="CY66" s="79">
        <v>5000</v>
      </c>
      <c r="CZ66" s="79">
        <v>70890</v>
      </c>
      <c r="DA66" s="79">
        <v>45300</v>
      </c>
      <c r="DB66" s="79">
        <v>113352.10203150767</v>
      </c>
      <c r="DC66" s="82">
        <v>0</v>
      </c>
      <c r="DD66" s="79">
        <v>59608.040324118745</v>
      </c>
      <c r="DE66" s="79"/>
      <c r="DF66" s="79">
        <v>4200</v>
      </c>
      <c r="DG66" s="79">
        <v>0</v>
      </c>
      <c r="DH66" s="83">
        <v>0</v>
      </c>
      <c r="DI66" s="79">
        <v>17404.285898683589</v>
      </c>
      <c r="DJ66" s="79">
        <v>7813251.5121036684</v>
      </c>
      <c r="DK66" s="84">
        <v>70889.997896331362</v>
      </c>
      <c r="DL66" s="84">
        <v>0</v>
      </c>
      <c r="DM66" s="84">
        <f t="shared" si="16"/>
        <v>7884141.5099999998</v>
      </c>
      <c r="DN66" s="84">
        <f>'[7]FY20 Initial Budget Alloca FTE'!F66*DN$1</f>
        <v>366380.63078481011</v>
      </c>
      <c r="DO66" s="81">
        <f t="shared" si="0"/>
        <v>81189.600000000006</v>
      </c>
      <c r="DP66" s="81">
        <f t="shared" si="17"/>
        <v>7537.0126582278481</v>
      </c>
      <c r="DQ66" s="74">
        <f t="shared" si="18"/>
        <v>277654.01812658226</v>
      </c>
      <c r="DR66" s="85">
        <f t="shared" si="37"/>
        <v>0.75782941235684342</v>
      </c>
      <c r="DS66" s="81">
        <f t="shared" si="19"/>
        <v>4461041.2891002521</v>
      </c>
      <c r="DT66" s="81">
        <f t="shared" si="1"/>
        <v>1146960.6913212091</v>
      </c>
      <c r="DU66" s="81">
        <f t="shared" si="2"/>
        <v>1418485.5905732762</v>
      </c>
      <c r="DV66" s="81">
        <f t="shared" si="34"/>
        <v>252609.66999999998</v>
      </c>
      <c r="DW66" s="81">
        <f t="shared" si="29"/>
        <v>59608.040324118745</v>
      </c>
      <c r="DX66" s="81">
        <f t="shared" si="30"/>
        <v>0</v>
      </c>
      <c r="DY66" s="81">
        <f t="shared" si="31"/>
        <v>0</v>
      </c>
      <c r="DZ66" s="81">
        <f t="shared" si="32"/>
        <v>108165.6</v>
      </c>
      <c r="EA66" s="74">
        <f t="shared" si="8"/>
        <v>277654.01812658226</v>
      </c>
      <c r="EB66" s="81">
        <f t="shared" si="33"/>
        <v>81189.600000000006</v>
      </c>
      <c r="EC66" s="81">
        <f t="shared" si="33"/>
        <v>7537.0126582278481</v>
      </c>
      <c r="ED66" s="86">
        <f t="shared" si="20"/>
        <v>0.75782941235684342</v>
      </c>
      <c r="EE66" s="81">
        <f t="shared" si="21"/>
        <v>366380.63078481011</v>
      </c>
      <c r="EF66" s="81">
        <f t="shared" si="22"/>
        <v>7813251.5121036666</v>
      </c>
      <c r="EG66" s="81">
        <f t="shared" si="10"/>
        <v>0</v>
      </c>
      <c r="EH66" s="81">
        <v>7185585.1834990876</v>
      </c>
      <c r="EI66" s="84">
        <f t="shared" si="35"/>
        <v>7705085.9121036688</v>
      </c>
      <c r="EJ66" s="74">
        <f t="shared" si="12"/>
        <v>627666.32860458083</v>
      </c>
      <c r="EK66" s="74">
        <f t="shared" si="13"/>
        <v>519500.72860458121</v>
      </c>
      <c r="EM66" s="88">
        <f t="shared" si="14"/>
        <v>453</v>
      </c>
      <c r="EN66" s="74">
        <v>436</v>
      </c>
      <c r="EO66" s="74">
        <f t="shared" si="15"/>
        <v>17</v>
      </c>
      <c r="EP66" s="72">
        <v>437</v>
      </c>
      <c r="EQ66" s="74">
        <f t="shared" si="23"/>
        <v>1</v>
      </c>
      <c r="ER66" s="72">
        <v>436</v>
      </c>
      <c r="ES66" s="74">
        <f t="shared" si="24"/>
        <v>17</v>
      </c>
      <c r="ET66" s="74"/>
      <c r="EU66" s="74"/>
      <c r="EV66" s="74"/>
      <c r="EW66" s="89"/>
      <c r="EX66" s="81">
        <f t="shared" si="38"/>
        <v>7121692.8317706641</v>
      </c>
      <c r="EY66" s="81">
        <f t="shared" si="39"/>
        <v>691558.68033300317</v>
      </c>
    </row>
    <row r="67" spans="1:155" x14ac:dyDescent="0.25">
      <c r="A67" s="76">
        <v>274</v>
      </c>
      <c r="B67" s="76" t="s">
        <v>206</v>
      </c>
      <c r="C67" s="77" t="s">
        <v>135</v>
      </c>
      <c r="D67" s="41">
        <v>6</v>
      </c>
      <c r="E67" s="78">
        <v>413</v>
      </c>
      <c r="F67" s="78">
        <v>63.735660847880304</v>
      </c>
      <c r="G67" s="79">
        <v>173177.12015668923</v>
      </c>
      <c r="H67" s="79">
        <v>109114.27619794433</v>
      </c>
      <c r="I67" s="79">
        <v>140395.22015668923</v>
      </c>
      <c r="J67" s="79">
        <v>0</v>
      </c>
      <c r="K67" s="79">
        <v>0</v>
      </c>
      <c r="L67" s="79">
        <v>81577.320156689224</v>
      </c>
      <c r="M67" s="79">
        <v>59319.676384927567</v>
      </c>
      <c r="N67" s="79">
        <v>44635.326384927568</v>
      </c>
      <c r="O67" s="79">
        <v>0</v>
      </c>
      <c r="P67" s="79">
        <v>0</v>
      </c>
      <c r="Q67" s="79"/>
      <c r="R67" s="79">
        <v>69375.836746740591</v>
      </c>
      <c r="S67" s="79">
        <v>54629.386746740587</v>
      </c>
      <c r="T67" s="79">
        <v>97917.473493481171</v>
      </c>
      <c r="U67" s="79">
        <v>109114.27619794433</v>
      </c>
      <c r="V67" s="79">
        <v>109114.27619794433</v>
      </c>
      <c r="W67" s="79">
        <v>109114.27619794433</v>
      </c>
      <c r="X67" s="79">
        <v>109114.27619794433</v>
      </c>
      <c r="Y67" s="79">
        <v>163671.41429691651</v>
      </c>
      <c r="Z67" s="79"/>
      <c r="AA67" s="79">
        <v>218228.55239588866</v>
      </c>
      <c r="AB67" s="79">
        <v>68805.252769855142</v>
      </c>
      <c r="AC67" s="79">
        <v>109114.27619794433</v>
      </c>
      <c r="AD67" s="79">
        <v>34402.626384927571</v>
      </c>
      <c r="AE67" s="79">
        <v>218228.55239588866</v>
      </c>
      <c r="AF67" s="79">
        <v>68805.252769855142</v>
      </c>
      <c r="AG67" s="79">
        <v>327342.82859383302</v>
      </c>
      <c r="AH67" s="79">
        <v>103207.87915478271</v>
      </c>
      <c r="AI67" s="79">
        <v>327342.82859383302</v>
      </c>
      <c r="AJ67" s="79">
        <v>327342.82859383302</v>
      </c>
      <c r="AK67" s="79">
        <v>327342.82859383302</v>
      </c>
      <c r="AL67" s="79">
        <v>218228.55239588866</v>
      </c>
      <c r="AM67" s="79">
        <v>218228.55239588866</v>
      </c>
      <c r="AN67" s="79">
        <v>0</v>
      </c>
      <c r="AO67" s="79">
        <v>0</v>
      </c>
      <c r="AP67" s="79">
        <v>0</v>
      </c>
      <c r="AQ67" s="79">
        <v>0</v>
      </c>
      <c r="AR67" s="79">
        <v>0</v>
      </c>
      <c r="AS67" s="79">
        <v>0</v>
      </c>
      <c r="AT67" s="79">
        <v>0</v>
      </c>
      <c r="AU67" s="79">
        <v>0</v>
      </c>
      <c r="AV67" s="79"/>
      <c r="AW67" s="79">
        <v>0</v>
      </c>
      <c r="AX67" s="79">
        <v>57769.910649549296</v>
      </c>
      <c r="AY67" s="79">
        <v>109114.27619794433</v>
      </c>
      <c r="AZ67" s="79">
        <v>327342.82859383302</v>
      </c>
      <c r="BA67" s="79">
        <v>0</v>
      </c>
      <c r="BB67" s="79">
        <v>0</v>
      </c>
      <c r="BC67" s="79">
        <v>0</v>
      </c>
      <c r="BD67" s="79">
        <v>109114.27619794433</v>
      </c>
      <c r="BE67" s="79">
        <v>0</v>
      </c>
      <c r="BF67" s="79">
        <v>0</v>
      </c>
      <c r="BG67" s="79">
        <v>0</v>
      </c>
      <c r="BH67" s="79">
        <v>0</v>
      </c>
      <c r="BI67" s="79">
        <v>0</v>
      </c>
      <c r="BJ67" s="79"/>
      <c r="BK67" s="79">
        <v>0</v>
      </c>
      <c r="BL67" s="79"/>
      <c r="BM67" s="79">
        <v>0</v>
      </c>
      <c r="BN67" s="79">
        <v>0</v>
      </c>
      <c r="BO67" s="79">
        <v>10175</v>
      </c>
      <c r="BP67" s="79">
        <v>0</v>
      </c>
      <c r="BQ67" s="79">
        <v>0</v>
      </c>
      <c r="BR67" s="79">
        <v>0</v>
      </c>
      <c r="BS67" s="79">
        <v>0</v>
      </c>
      <c r="BT67" s="79">
        <v>0</v>
      </c>
      <c r="BU67" s="79">
        <v>0</v>
      </c>
      <c r="BV67" s="80">
        <v>0</v>
      </c>
      <c r="BW67" s="80">
        <v>0</v>
      </c>
      <c r="BX67" s="80">
        <v>0</v>
      </c>
      <c r="BY67" s="80">
        <v>0</v>
      </c>
      <c r="BZ67" s="80">
        <v>0</v>
      </c>
      <c r="CA67" s="80">
        <v>0</v>
      </c>
      <c r="CB67" s="80">
        <v>0</v>
      </c>
      <c r="CC67" s="80">
        <v>0</v>
      </c>
      <c r="CD67" s="79">
        <v>0</v>
      </c>
      <c r="CE67" s="79">
        <v>0</v>
      </c>
      <c r="CF67" s="79">
        <v>0</v>
      </c>
      <c r="CG67" s="79">
        <v>0</v>
      </c>
      <c r="CH67" s="79">
        <v>0</v>
      </c>
      <c r="CI67" s="79">
        <v>0</v>
      </c>
      <c r="CJ67" s="79">
        <v>0</v>
      </c>
      <c r="CK67" s="79">
        <v>0</v>
      </c>
      <c r="CL67" s="79">
        <v>0</v>
      </c>
      <c r="CM67" s="79">
        <v>54082.8</v>
      </c>
      <c r="CN67" s="79">
        <v>0</v>
      </c>
      <c r="CO67" s="79">
        <v>0</v>
      </c>
      <c r="CP67" s="79">
        <v>0</v>
      </c>
      <c r="CQ67" s="79">
        <v>0</v>
      </c>
      <c r="CR67" s="79">
        <v>0</v>
      </c>
      <c r="CS67" s="79">
        <v>22086.273195876289</v>
      </c>
      <c r="CT67" s="79"/>
      <c r="CU67" s="79">
        <v>0</v>
      </c>
      <c r="CV67" s="79"/>
      <c r="CW67" s="79">
        <v>0</v>
      </c>
      <c r="CX67" s="79">
        <v>0</v>
      </c>
      <c r="CY67" s="79">
        <v>0</v>
      </c>
      <c r="CZ67" s="79">
        <v>0</v>
      </c>
      <c r="DA67" s="79">
        <v>41300</v>
      </c>
      <c r="DB67" s="79">
        <v>74063.739360063628</v>
      </c>
      <c r="DC67" s="82">
        <v>0</v>
      </c>
      <c r="DD67" s="79">
        <v>0</v>
      </c>
      <c r="DE67" s="79"/>
      <c r="DF67" s="79">
        <v>2550</v>
      </c>
      <c r="DG67" s="79">
        <v>0</v>
      </c>
      <c r="DH67" s="83">
        <v>0</v>
      </c>
      <c r="DI67" s="79">
        <v>11633.147871537494</v>
      </c>
      <c r="DJ67" s="79">
        <v>4804490.0709449854</v>
      </c>
      <c r="DK67" s="84">
        <v>-9.4498507678508759E-4</v>
      </c>
      <c r="DL67" s="84">
        <v>0</v>
      </c>
      <c r="DM67" s="84">
        <f t="shared" si="16"/>
        <v>4804490.07</v>
      </c>
      <c r="DN67" s="84">
        <f>'[7]FY20 Initial Budget Alloca FTE'!F67*DN$1</f>
        <v>139954.58822942644</v>
      </c>
      <c r="DO67" s="81">
        <f t="shared" ref="DO67:DO119" si="40">SUM(BG67:BI67,BK67)</f>
        <v>0</v>
      </c>
      <c r="DP67" s="81">
        <f t="shared" si="17"/>
        <v>2550</v>
      </c>
      <c r="DQ67" s="74">
        <f t="shared" si="18"/>
        <v>137404.58822942644</v>
      </c>
      <c r="DR67" s="85">
        <f t="shared" si="37"/>
        <v>0.98177980420463384</v>
      </c>
      <c r="DS67" s="81">
        <f t="shared" si="19"/>
        <v>3996936.3910762877</v>
      </c>
      <c r="DT67" s="81">
        <f t="shared" ref="DT67:DT98" si="41">SUM(AX67:BC67)</f>
        <v>494227.01544132666</v>
      </c>
      <c r="DU67" s="81">
        <f t="shared" ref="DU67:DU119" si="42">SUM(BD67:BF67)</f>
        <v>109114.27619794433</v>
      </c>
      <c r="DV67" s="81">
        <f t="shared" si="34"/>
        <v>10175</v>
      </c>
      <c r="DW67" s="81">
        <f t="shared" ref="DW67:DW119" si="43">SUM(DD67)</f>
        <v>0</v>
      </c>
      <c r="DX67" s="81">
        <f t="shared" ref="DX67:DX119" si="44">SUM(DC67)</f>
        <v>0</v>
      </c>
      <c r="DY67" s="81">
        <f t="shared" ref="DY67:DY119" si="45">SUM(DH67)</f>
        <v>0</v>
      </c>
      <c r="DZ67" s="81">
        <f t="shared" ref="DZ67:DZ119" si="46">SUM(CM67)</f>
        <v>54082.8</v>
      </c>
      <c r="EA67" s="74">
        <f t="shared" ref="EA67:EA119" si="47">DQ67</f>
        <v>137404.58822942644</v>
      </c>
      <c r="EB67" s="81">
        <f t="shared" ref="EB67:EC98" si="48">DO67</f>
        <v>0</v>
      </c>
      <c r="EC67" s="81">
        <f t="shared" si="48"/>
        <v>2550</v>
      </c>
      <c r="ED67" s="86">
        <f t="shared" si="20"/>
        <v>0.98177980420463384</v>
      </c>
      <c r="EE67" s="81">
        <f t="shared" si="21"/>
        <v>139954.58822942644</v>
      </c>
      <c r="EF67" s="81">
        <f t="shared" si="22"/>
        <v>4804490.0709449854</v>
      </c>
      <c r="EG67" s="81">
        <f t="shared" ref="EG67:EG119" si="49">DJ67-EF67</f>
        <v>0</v>
      </c>
      <c r="EH67" s="81">
        <v>4487323.7258019708</v>
      </c>
      <c r="EI67" s="84">
        <f t="shared" si="35"/>
        <v>4750407.2709449856</v>
      </c>
      <c r="EJ67" s="74">
        <f t="shared" ref="EJ67:EJ120" si="50">DJ67-EH67</f>
        <v>317166.34514301457</v>
      </c>
      <c r="EK67" s="74">
        <f t="shared" ref="EK67:EK120" si="51">EI67-EH67</f>
        <v>263083.54514301475</v>
      </c>
      <c r="EM67" s="88">
        <f t="shared" ref="EM67:EM119" si="52">E67</f>
        <v>413</v>
      </c>
      <c r="EN67" s="74">
        <v>422</v>
      </c>
      <c r="EO67" s="74">
        <f t="shared" ref="EO67:EO119" si="53">E67-EN67</f>
        <v>-9</v>
      </c>
      <c r="EP67" s="72">
        <v>407</v>
      </c>
      <c r="EQ67" s="74">
        <f t="shared" si="23"/>
        <v>-15</v>
      </c>
      <c r="ER67" s="72">
        <v>426</v>
      </c>
      <c r="ES67" s="74">
        <f t="shared" si="24"/>
        <v>-13</v>
      </c>
      <c r="ET67" s="74"/>
      <c r="EU67" s="74"/>
      <c r="EV67" s="74"/>
      <c r="EW67" s="89"/>
      <c r="EX67" s="81">
        <f t="shared" si="38"/>
        <v>4600232.2583890455</v>
      </c>
      <c r="EY67" s="81">
        <f t="shared" si="39"/>
        <v>204257.81255593992</v>
      </c>
    </row>
    <row r="68" spans="1:155" x14ac:dyDescent="0.25">
      <c r="A68" s="76">
        <v>435</v>
      </c>
      <c r="B68" s="76" t="s">
        <v>207</v>
      </c>
      <c r="C68" s="77" t="s">
        <v>152</v>
      </c>
      <c r="D68" s="41">
        <v>5</v>
      </c>
      <c r="E68" s="78">
        <v>227</v>
      </c>
      <c r="F68" s="78">
        <v>142.66515837104075</v>
      </c>
      <c r="G68" s="79">
        <v>86588.560078344613</v>
      </c>
      <c r="H68" s="79">
        <v>109114.27619794433</v>
      </c>
      <c r="I68" s="79">
        <v>252711.39628204063</v>
      </c>
      <c r="J68" s="79">
        <v>109114.27619794433</v>
      </c>
      <c r="K68" s="79">
        <v>0</v>
      </c>
      <c r="L68" s="79">
        <v>40788.660078344612</v>
      </c>
      <c r="M68" s="79">
        <v>59319.676384927567</v>
      </c>
      <c r="N68" s="79">
        <v>0</v>
      </c>
      <c r="O68" s="79">
        <v>0</v>
      </c>
      <c r="P68" s="79">
        <v>0</v>
      </c>
      <c r="Q68" s="79"/>
      <c r="R68" s="79">
        <v>69375.836746740591</v>
      </c>
      <c r="S68" s="79">
        <v>54629.386746740587</v>
      </c>
      <c r="T68" s="79">
        <v>97917.473493481171</v>
      </c>
      <c r="U68" s="79">
        <v>54557.138098972166</v>
      </c>
      <c r="V68" s="79">
        <v>0</v>
      </c>
      <c r="W68" s="79">
        <v>0</v>
      </c>
      <c r="X68" s="79">
        <v>0</v>
      </c>
      <c r="Y68" s="79">
        <v>0</v>
      </c>
      <c r="Z68" s="79"/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79">
        <v>0</v>
      </c>
      <c r="AK68" s="79">
        <v>0</v>
      </c>
      <c r="AL68" s="79">
        <v>0</v>
      </c>
      <c r="AM68" s="79">
        <v>0</v>
      </c>
      <c r="AN68" s="79">
        <v>381899.96669280517</v>
      </c>
      <c r="AO68" s="79">
        <v>349165.68383342191</v>
      </c>
      <c r="AP68" s="79">
        <v>392811.39431259962</v>
      </c>
      <c r="AQ68" s="79">
        <v>0</v>
      </c>
      <c r="AR68" s="79">
        <v>0</v>
      </c>
      <c r="AS68" s="79">
        <v>0</v>
      </c>
      <c r="AT68" s="79">
        <v>0</v>
      </c>
      <c r="AU68" s="79">
        <v>0</v>
      </c>
      <c r="AV68" s="79"/>
      <c r="AW68" s="79">
        <v>0</v>
      </c>
      <c r="AX68" s="79">
        <v>109114.27619794433</v>
      </c>
      <c r="AY68" s="79">
        <v>327342.82859383302</v>
      </c>
      <c r="AZ68" s="79">
        <v>654685.65718766605</v>
      </c>
      <c r="BA68" s="79">
        <v>103207.87915478271</v>
      </c>
      <c r="BB68" s="79">
        <v>96126.952769855139</v>
      </c>
      <c r="BC68" s="79">
        <v>0</v>
      </c>
      <c r="BD68" s="79">
        <v>44637.658444613589</v>
      </c>
      <c r="BE68" s="79">
        <v>0</v>
      </c>
      <c r="BF68" s="79">
        <v>0</v>
      </c>
      <c r="BG68" s="79">
        <v>0</v>
      </c>
      <c r="BH68" s="79">
        <v>0</v>
      </c>
      <c r="BI68" s="79">
        <v>0</v>
      </c>
      <c r="BJ68" s="79"/>
      <c r="BK68" s="79">
        <v>0</v>
      </c>
      <c r="BL68" s="79"/>
      <c r="BM68" s="79">
        <v>79701.08</v>
      </c>
      <c r="BN68" s="79">
        <v>1268.25</v>
      </c>
      <c r="BO68" s="79">
        <v>0</v>
      </c>
      <c r="BP68" s="79">
        <v>0</v>
      </c>
      <c r="BQ68" s="79">
        <v>0</v>
      </c>
      <c r="BR68" s="79">
        <v>0</v>
      </c>
      <c r="BS68" s="79">
        <v>0</v>
      </c>
      <c r="BT68" s="79">
        <v>0</v>
      </c>
      <c r="BU68" s="79">
        <v>0</v>
      </c>
      <c r="BV68" s="80">
        <v>0</v>
      </c>
      <c r="BW68" s="80">
        <v>0</v>
      </c>
      <c r="BX68" s="80">
        <v>0</v>
      </c>
      <c r="BY68" s="80">
        <v>0</v>
      </c>
      <c r="BZ68" s="80">
        <v>0</v>
      </c>
      <c r="CA68" s="80">
        <v>0</v>
      </c>
      <c r="CB68" s="80">
        <v>0</v>
      </c>
      <c r="CC68" s="80">
        <v>0</v>
      </c>
      <c r="CD68" s="79">
        <v>0</v>
      </c>
      <c r="CE68" s="79">
        <v>0</v>
      </c>
      <c r="CF68" s="79">
        <v>0</v>
      </c>
      <c r="CG68" s="79">
        <v>0</v>
      </c>
      <c r="CH68" s="79">
        <v>0</v>
      </c>
      <c r="CI68" s="79">
        <v>218228.55239588866</v>
      </c>
      <c r="CJ68" s="79">
        <v>0</v>
      </c>
      <c r="CK68" s="79">
        <v>23000</v>
      </c>
      <c r="CL68" s="79">
        <v>5000</v>
      </c>
      <c r="CM68" s="79">
        <v>227444.6</v>
      </c>
      <c r="CN68" s="79">
        <v>100000</v>
      </c>
      <c r="CO68" s="79">
        <v>0</v>
      </c>
      <c r="CP68" s="79">
        <v>0</v>
      </c>
      <c r="CQ68" s="79">
        <v>2853.303167420815</v>
      </c>
      <c r="CR68" s="79">
        <v>0</v>
      </c>
      <c r="CS68" s="79">
        <v>20207.400000000001</v>
      </c>
      <c r="CT68" s="79"/>
      <c r="CU68" s="79">
        <v>0</v>
      </c>
      <c r="CV68" s="79"/>
      <c r="CW68" s="79">
        <v>0</v>
      </c>
      <c r="CX68" s="79">
        <v>0</v>
      </c>
      <c r="CY68" s="79">
        <v>0</v>
      </c>
      <c r="CZ68" s="79">
        <v>0</v>
      </c>
      <c r="DA68" s="79">
        <v>22700</v>
      </c>
      <c r="DB68" s="79">
        <v>59752.534231211139</v>
      </c>
      <c r="DC68" s="82">
        <v>0</v>
      </c>
      <c r="DD68" s="79">
        <v>0</v>
      </c>
      <c r="DE68" s="79"/>
      <c r="DF68" s="79">
        <v>38150</v>
      </c>
      <c r="DG68" s="79">
        <v>0</v>
      </c>
      <c r="DH68" s="83">
        <v>0</v>
      </c>
      <c r="DI68" s="79">
        <v>18464.381926376751</v>
      </c>
      <c r="DJ68" s="79">
        <v>4191414.6972875232</v>
      </c>
      <c r="DK68" s="84">
        <v>-0.29728752328082919</v>
      </c>
      <c r="DL68" s="84">
        <v>51775.53</v>
      </c>
      <c r="DM68" s="84">
        <f t="shared" ref="DM68:DM119" si="54">SUM(DJ68:DL68)</f>
        <v>4243189.93</v>
      </c>
      <c r="DN68" s="84">
        <f>'[7]FY20 Initial Budget Alloca FTE'!F68*DN$1</f>
        <v>313272.71466063353</v>
      </c>
      <c r="DO68" s="81">
        <f t="shared" si="40"/>
        <v>0</v>
      </c>
      <c r="DP68" s="81">
        <f t="shared" ref="DP68:DP119" si="55">SUM(Q68,Z68,AW68,BR68:BY68,CA68:CC68,CF68:CG68,CJ68,CP68:CR68,CU68,CW68,DF68)</f>
        <v>41003.303167420818</v>
      </c>
      <c r="DQ68" s="74">
        <f t="shared" ref="DQ68:DQ119" si="56">DN68-DP68-SUM(BG68:BI68,BK68)</f>
        <v>272269.41149321268</v>
      </c>
      <c r="DR68" s="85">
        <f t="shared" si="37"/>
        <v>0.86911307225769896</v>
      </c>
      <c r="DS68" s="81">
        <f t="shared" ref="DS68:DS119" si="57">SUM(G68:P68,R68:Y68,AA68:AV68,BJ68,CD68:CE68,CH68:CI68,CK68,CL68,CN68:CO68,CS68:CT68,CV68,DA68:DB68,DE68)+SUM(BP68:BQ68,CX68:CZ68)-EA68</f>
        <v>2234612.8002781942</v>
      </c>
      <c r="DT68" s="81">
        <f t="shared" si="41"/>
        <v>1290477.5939040813</v>
      </c>
      <c r="DU68" s="81">
        <f t="shared" si="42"/>
        <v>44637.658444613589</v>
      </c>
      <c r="DV68" s="81">
        <f t="shared" si="34"/>
        <v>80969.33</v>
      </c>
      <c r="DW68" s="81">
        <f t="shared" si="43"/>
        <v>0</v>
      </c>
      <c r="DX68" s="81">
        <f t="shared" si="44"/>
        <v>0</v>
      </c>
      <c r="DY68" s="81">
        <f t="shared" si="45"/>
        <v>0</v>
      </c>
      <c r="DZ68" s="81">
        <f t="shared" si="46"/>
        <v>227444.6</v>
      </c>
      <c r="EA68" s="74">
        <f t="shared" si="47"/>
        <v>272269.41149321268</v>
      </c>
      <c r="EB68" s="81">
        <f t="shared" si="48"/>
        <v>0</v>
      </c>
      <c r="EC68" s="81">
        <f t="shared" si="48"/>
        <v>41003.303167420818</v>
      </c>
      <c r="ED68" s="86">
        <f t="shared" ref="ED68:ED116" si="58">EA68/EE68</f>
        <v>0.86911307225769907</v>
      </c>
      <c r="EE68" s="81">
        <f t="shared" ref="EE68:EE119" si="59">SUM(EA68:EC68)</f>
        <v>313272.71466063347</v>
      </c>
      <c r="EF68" s="81">
        <f t="shared" ref="EF68:EF119" si="60">SUM(DS68:EC68)</f>
        <v>4191414.6972875227</v>
      </c>
      <c r="EG68" s="81">
        <f t="shared" si="49"/>
        <v>0</v>
      </c>
      <c r="EH68" s="81">
        <v>4053555.2130406052</v>
      </c>
      <c r="EI68" s="84">
        <f t="shared" si="35"/>
        <v>3963970.0972875231</v>
      </c>
      <c r="EJ68" s="74">
        <f t="shared" si="50"/>
        <v>137859.484246918</v>
      </c>
      <c r="EK68" s="74">
        <f t="shared" si="51"/>
        <v>-89585.115753082093</v>
      </c>
      <c r="EM68" s="88">
        <f t="shared" si="52"/>
        <v>227</v>
      </c>
      <c r="EN68" s="74">
        <v>242</v>
      </c>
      <c r="EO68" s="74">
        <f t="shared" si="53"/>
        <v>-15</v>
      </c>
      <c r="EP68" s="72">
        <v>231</v>
      </c>
      <c r="EQ68" s="74">
        <f t="shared" ref="EQ68:EQ119" si="61">EP68-EN68</f>
        <v>-11</v>
      </c>
      <c r="ER68" s="72">
        <v>283</v>
      </c>
      <c r="ES68" s="74">
        <f t="shared" ref="ES68:ES119" si="62">EM68-ER68</f>
        <v>-56</v>
      </c>
      <c r="ET68" s="74"/>
      <c r="EU68" s="74"/>
      <c r="EV68" s="74"/>
      <c r="EW68" s="89"/>
      <c r="EX68" s="81">
        <f t="shared" si="38"/>
        <v>3611337.5298888911</v>
      </c>
      <c r="EY68" s="81">
        <f t="shared" si="39"/>
        <v>580077.16739863192</v>
      </c>
    </row>
    <row r="69" spans="1:155" ht="18.75" x14ac:dyDescent="0.25">
      <c r="A69" s="76">
        <v>458</v>
      </c>
      <c r="B69" s="76" t="s">
        <v>208</v>
      </c>
      <c r="C69" s="77" t="s">
        <v>138</v>
      </c>
      <c r="D69" s="41">
        <v>5</v>
      </c>
      <c r="E69" s="78">
        <v>670</v>
      </c>
      <c r="F69" s="78">
        <v>269.27386541471049</v>
      </c>
      <c r="G69" s="79">
        <v>86588.560078344613</v>
      </c>
      <c r="H69" s="79">
        <v>109114.27619794433</v>
      </c>
      <c r="I69" s="79">
        <v>308869.48434471636</v>
      </c>
      <c r="J69" s="79">
        <v>0</v>
      </c>
      <c r="K69" s="79">
        <v>356671.77783887769</v>
      </c>
      <c r="L69" s="79">
        <v>81577.320156689224</v>
      </c>
      <c r="M69" s="79">
        <v>59319.676384927567</v>
      </c>
      <c r="N69" s="79">
        <v>75880.054854376867</v>
      </c>
      <c r="O69" s="79">
        <v>50130.026384927565</v>
      </c>
      <c r="P69" s="79">
        <v>62573.586746740584</v>
      </c>
      <c r="Q69" s="79"/>
      <c r="R69" s="79">
        <v>69375.836746740591</v>
      </c>
      <c r="S69" s="79">
        <v>54629.386746740587</v>
      </c>
      <c r="T69" s="79">
        <v>293752.42048044351</v>
      </c>
      <c r="U69" s="79">
        <v>109114.27619794433</v>
      </c>
      <c r="V69" s="79">
        <v>0</v>
      </c>
      <c r="W69" s="79">
        <v>0</v>
      </c>
      <c r="X69" s="79">
        <v>0</v>
      </c>
      <c r="Y69" s="79">
        <v>0</v>
      </c>
      <c r="Z69" s="79"/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9">
        <v>0</v>
      </c>
      <c r="AJ69" s="79">
        <v>0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0</v>
      </c>
      <c r="AQ69" s="79">
        <v>982028.48578149895</v>
      </c>
      <c r="AR69" s="79">
        <v>796534.21624499361</v>
      </c>
      <c r="AS69" s="79">
        <v>687419.94004704931</v>
      </c>
      <c r="AT69" s="79">
        <v>578305.66384910489</v>
      </c>
      <c r="AU69" s="79">
        <v>0</v>
      </c>
      <c r="AV69" s="79"/>
      <c r="AW69" s="79">
        <v>0</v>
      </c>
      <c r="AX69" s="79">
        <v>109114.27619794433</v>
      </c>
      <c r="AY69" s="79">
        <v>218228.55239588866</v>
      </c>
      <c r="AZ69" s="79">
        <v>218228.55239588866</v>
      </c>
      <c r="BA69" s="79">
        <v>0</v>
      </c>
      <c r="BB69" s="79">
        <v>0</v>
      </c>
      <c r="BC69" s="79">
        <v>0</v>
      </c>
      <c r="BD69" s="79">
        <v>109114.27619794433</v>
      </c>
      <c r="BE69" s="79">
        <v>0</v>
      </c>
      <c r="BF69" s="79">
        <v>0</v>
      </c>
      <c r="BG69" s="79">
        <v>0</v>
      </c>
      <c r="BH69" s="79">
        <v>0</v>
      </c>
      <c r="BI69" s="79">
        <v>0</v>
      </c>
      <c r="BJ69" s="79"/>
      <c r="BK69" s="79">
        <v>0</v>
      </c>
      <c r="BL69" s="79"/>
      <c r="BM69" s="79">
        <v>205040.13</v>
      </c>
      <c r="BN69" s="79">
        <v>3262.72</v>
      </c>
      <c r="BO69" s="79">
        <v>0</v>
      </c>
      <c r="BP69" s="79">
        <v>0</v>
      </c>
      <c r="BQ69" s="79">
        <v>0</v>
      </c>
      <c r="BR69" s="79">
        <v>0</v>
      </c>
      <c r="BS69" s="79">
        <v>0</v>
      </c>
      <c r="BT69" s="79">
        <v>0</v>
      </c>
      <c r="BU69" s="79">
        <v>0</v>
      </c>
      <c r="BV69" s="80">
        <v>0</v>
      </c>
      <c r="BW69" s="80">
        <v>0</v>
      </c>
      <c r="BX69" s="80">
        <v>0</v>
      </c>
      <c r="BY69" s="80">
        <v>0</v>
      </c>
      <c r="BZ69" s="80">
        <v>90000</v>
      </c>
      <c r="CA69" s="80">
        <v>0</v>
      </c>
      <c r="CB69" s="80">
        <v>0</v>
      </c>
      <c r="CC69" s="80">
        <v>0</v>
      </c>
      <c r="CD69" s="79">
        <v>218228.55239588866</v>
      </c>
      <c r="CE69" s="79">
        <v>0</v>
      </c>
      <c r="CF69" s="99">
        <v>466018</v>
      </c>
      <c r="CG69" s="79">
        <v>0</v>
      </c>
      <c r="CH69" s="79">
        <v>0</v>
      </c>
      <c r="CI69" s="79">
        <v>0</v>
      </c>
      <c r="CJ69" s="79">
        <v>0</v>
      </c>
      <c r="CK69" s="79">
        <v>0</v>
      </c>
      <c r="CL69" s="79">
        <v>0</v>
      </c>
      <c r="CM69" s="79">
        <v>430255.1</v>
      </c>
      <c r="CN69" s="79">
        <v>0</v>
      </c>
      <c r="CO69" s="79">
        <v>105202</v>
      </c>
      <c r="CP69" s="79">
        <v>0</v>
      </c>
      <c r="CQ69" s="79">
        <v>5385.4773082942102</v>
      </c>
      <c r="CR69" s="79">
        <v>0</v>
      </c>
      <c r="CS69" s="79">
        <v>92989.75</v>
      </c>
      <c r="CT69" s="79"/>
      <c r="CU69" s="79">
        <v>0</v>
      </c>
      <c r="CV69" s="79"/>
      <c r="CW69" s="79">
        <v>0</v>
      </c>
      <c r="CX69" s="79">
        <v>0</v>
      </c>
      <c r="CY69" s="79">
        <v>0</v>
      </c>
      <c r="CZ69" s="79">
        <v>0</v>
      </c>
      <c r="DA69" s="79">
        <v>67000</v>
      </c>
      <c r="DB69" s="79">
        <v>88900.539604942605</v>
      </c>
      <c r="DC69" s="82">
        <v>0</v>
      </c>
      <c r="DD69" s="79">
        <v>1680585.0389999999</v>
      </c>
      <c r="DE69" s="79"/>
      <c r="DF69" s="79">
        <v>1050</v>
      </c>
      <c r="DG69" s="79">
        <v>0</v>
      </c>
      <c r="DH69" s="83">
        <v>0</v>
      </c>
      <c r="DI69" s="79">
        <v>13239.534260565451</v>
      </c>
      <c r="DJ69" s="79">
        <v>8870487.9545788504</v>
      </c>
      <c r="DK69" s="84">
        <v>-4.5788511633872986E-3</v>
      </c>
      <c r="DL69" s="84">
        <v>0</v>
      </c>
      <c r="DM69" s="84">
        <f t="shared" si="54"/>
        <v>8870487.9499999993</v>
      </c>
      <c r="DN69" s="84">
        <f>'[7]FY20 Initial Budget Alloca FTE'!F69*DN$1</f>
        <v>591287.7101095462</v>
      </c>
      <c r="DO69" s="81">
        <f t="shared" si="40"/>
        <v>0</v>
      </c>
      <c r="DP69" s="81">
        <f t="shared" si="55"/>
        <v>472453.47730829421</v>
      </c>
      <c r="DQ69" s="74">
        <f t="shared" si="56"/>
        <v>118834.23280125199</v>
      </c>
      <c r="DR69" s="85">
        <f t="shared" si="37"/>
        <v>0.20097531331952748</v>
      </c>
      <c r="DS69" s="81">
        <f t="shared" si="57"/>
        <v>5215371.5982816396</v>
      </c>
      <c r="DT69" s="81">
        <f t="shared" si="41"/>
        <v>545571.38098972174</v>
      </c>
      <c r="DU69" s="81">
        <f t="shared" si="42"/>
        <v>109114.27619794433</v>
      </c>
      <c r="DV69" s="81">
        <f t="shared" si="34"/>
        <v>298302.84999999998</v>
      </c>
      <c r="DW69" s="81">
        <f t="shared" si="43"/>
        <v>1680585.0389999999</v>
      </c>
      <c r="DX69" s="81">
        <f t="shared" si="44"/>
        <v>0</v>
      </c>
      <c r="DY69" s="81">
        <f t="shared" si="45"/>
        <v>0</v>
      </c>
      <c r="DZ69" s="81">
        <f t="shared" si="46"/>
        <v>430255.1</v>
      </c>
      <c r="EA69" s="74">
        <f t="shared" si="47"/>
        <v>118834.23280125199</v>
      </c>
      <c r="EB69" s="81">
        <f t="shared" si="48"/>
        <v>0</v>
      </c>
      <c r="EC69" s="81">
        <f t="shared" si="48"/>
        <v>472453.47730829421</v>
      </c>
      <c r="ED69" s="86">
        <f t="shared" si="58"/>
        <v>0.20097531331952748</v>
      </c>
      <c r="EE69" s="81">
        <f t="shared" si="59"/>
        <v>591287.7101095462</v>
      </c>
      <c r="EF69" s="81">
        <f t="shared" si="60"/>
        <v>8870487.9545788504</v>
      </c>
      <c r="EG69" s="81">
        <f t="shared" si="49"/>
        <v>0</v>
      </c>
      <c r="EH69" s="81">
        <v>8019004.9849876286</v>
      </c>
      <c r="EI69" s="84">
        <f t="shared" si="35"/>
        <v>8440232.8545788508</v>
      </c>
      <c r="EJ69" s="74">
        <f t="shared" si="50"/>
        <v>851482.96959122177</v>
      </c>
      <c r="EK69" s="74">
        <f t="shared" si="51"/>
        <v>421227.86959122214</v>
      </c>
      <c r="EM69" s="88">
        <f t="shared" si="52"/>
        <v>670</v>
      </c>
      <c r="EN69" s="74">
        <v>644</v>
      </c>
      <c r="EO69" s="74">
        <f t="shared" si="53"/>
        <v>26</v>
      </c>
      <c r="EP69" s="72">
        <v>633</v>
      </c>
      <c r="EQ69" s="74">
        <f t="shared" si="61"/>
        <v>-11</v>
      </c>
      <c r="ER69" s="72">
        <v>632</v>
      </c>
      <c r="ES69" s="74">
        <f t="shared" si="62"/>
        <v>38</v>
      </c>
      <c r="ET69" s="74"/>
      <c r="EU69" s="74"/>
      <c r="EV69" s="74"/>
      <c r="EW69" s="89"/>
      <c r="EX69" s="81">
        <f t="shared" si="38"/>
        <v>6206019.1986656161</v>
      </c>
      <c r="EY69" s="81">
        <f t="shared" si="39"/>
        <v>2664468.7559132366</v>
      </c>
    </row>
    <row r="70" spans="1:155" x14ac:dyDescent="0.25">
      <c r="A70" s="76">
        <v>280</v>
      </c>
      <c r="B70" s="76" t="s">
        <v>209</v>
      </c>
      <c r="C70" s="77" t="s">
        <v>135</v>
      </c>
      <c r="D70" s="41">
        <v>6</v>
      </c>
      <c r="E70" s="78">
        <v>372</v>
      </c>
      <c r="F70" s="78">
        <v>268.59842519685043</v>
      </c>
      <c r="G70" s="79">
        <v>173177.12015668923</v>
      </c>
      <c r="H70" s="79">
        <v>109114.27619794433</v>
      </c>
      <c r="I70" s="79">
        <v>126355.69814102032</v>
      </c>
      <c r="J70" s="79">
        <v>0</v>
      </c>
      <c r="K70" s="79">
        <v>0</v>
      </c>
      <c r="L70" s="79">
        <v>81577.320156689224</v>
      </c>
      <c r="M70" s="79">
        <v>59319.676384927567</v>
      </c>
      <c r="N70" s="79">
        <v>0</v>
      </c>
      <c r="O70" s="79">
        <v>0</v>
      </c>
      <c r="P70" s="79">
        <v>0</v>
      </c>
      <c r="Q70" s="79"/>
      <c r="R70" s="79">
        <v>69375.836746740591</v>
      </c>
      <c r="S70" s="79">
        <v>54629.386746740587</v>
      </c>
      <c r="T70" s="79">
        <v>97917.473493481171</v>
      </c>
      <c r="U70" s="79">
        <v>109114.27619794433</v>
      </c>
      <c r="V70" s="79">
        <v>109114.27619794433</v>
      </c>
      <c r="W70" s="79">
        <v>109114.27619794433</v>
      </c>
      <c r="X70" s="79">
        <v>109114.27619794433</v>
      </c>
      <c r="Y70" s="79">
        <f>327342.828593833-Z70</f>
        <v>0</v>
      </c>
      <c r="Z70" s="82">
        <f>3*Z$121</f>
        <v>327342.82859383302</v>
      </c>
      <c r="AA70" s="79">
        <v>327342.82859383302</v>
      </c>
      <c r="AB70" s="79">
        <v>103207.87915478271</v>
      </c>
      <c r="AC70" s="79">
        <v>109114.27619794433</v>
      </c>
      <c r="AD70" s="79">
        <v>34402.626384927571</v>
      </c>
      <c r="AE70" s="79">
        <v>436457.10479177732</v>
      </c>
      <c r="AF70" s="79">
        <v>137610.50553971028</v>
      </c>
      <c r="AG70" s="79">
        <v>327342.82859383302</v>
      </c>
      <c r="AH70" s="79">
        <v>103207.87915478271</v>
      </c>
      <c r="AI70" s="79">
        <v>218228.55239588866</v>
      </c>
      <c r="AJ70" s="79">
        <v>218228.55239588866</v>
      </c>
      <c r="AK70" s="79">
        <v>218228.55239588866</v>
      </c>
      <c r="AL70" s="79">
        <v>218228.55239588866</v>
      </c>
      <c r="AM70" s="79">
        <v>218228.55239588866</v>
      </c>
      <c r="AN70" s="79">
        <v>0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  <c r="AT70" s="79">
        <v>0</v>
      </c>
      <c r="AU70" s="79">
        <v>0</v>
      </c>
      <c r="AV70" s="79"/>
      <c r="AW70" s="79">
        <v>0</v>
      </c>
      <c r="AX70" s="79">
        <v>105053.14454017658</v>
      </c>
      <c r="AY70" s="79">
        <v>218228.55239588866</v>
      </c>
      <c r="AZ70" s="79">
        <v>872914.20958355465</v>
      </c>
      <c r="BA70" s="79">
        <v>172013.13192463786</v>
      </c>
      <c r="BB70" s="79">
        <v>0</v>
      </c>
      <c r="BC70" s="79">
        <v>0</v>
      </c>
      <c r="BD70" s="79">
        <v>109114.27619794433</v>
      </c>
      <c r="BE70" s="79">
        <v>0</v>
      </c>
      <c r="BF70" s="79">
        <v>0</v>
      </c>
      <c r="BG70" s="79">
        <f>35916-BL70</f>
        <v>12721.8</v>
      </c>
      <c r="BH70" s="79">
        <v>33672</v>
      </c>
      <c r="BI70" s="79">
        <v>6734</v>
      </c>
      <c r="BJ70" s="79"/>
      <c r="BK70" s="79">
        <v>0</v>
      </c>
      <c r="BL70" s="79">
        <v>23194.2</v>
      </c>
      <c r="BM70" s="79">
        <v>161632.31</v>
      </c>
      <c r="BN70" s="79">
        <v>2571.9899999999998</v>
      </c>
      <c r="BO70" s="79">
        <v>0</v>
      </c>
      <c r="BP70" s="79">
        <v>0</v>
      </c>
      <c r="BQ70" s="79">
        <v>0</v>
      </c>
      <c r="BR70" s="79">
        <v>0</v>
      </c>
      <c r="BS70" s="79">
        <v>0</v>
      </c>
      <c r="BT70" s="79">
        <v>0</v>
      </c>
      <c r="BU70" s="79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80">
        <v>0</v>
      </c>
      <c r="CC70" s="80">
        <v>0</v>
      </c>
      <c r="CD70" s="79">
        <v>0</v>
      </c>
      <c r="CE70" s="79">
        <v>0</v>
      </c>
      <c r="CF70" s="79">
        <v>0</v>
      </c>
      <c r="CG70" s="79">
        <v>0</v>
      </c>
      <c r="CH70" s="79">
        <v>0</v>
      </c>
      <c r="CI70" s="79">
        <v>0</v>
      </c>
      <c r="CJ70" s="79">
        <v>0</v>
      </c>
      <c r="CK70" s="79">
        <v>0</v>
      </c>
      <c r="CL70" s="79">
        <v>0</v>
      </c>
      <c r="CM70" s="79">
        <v>54082.8</v>
      </c>
      <c r="CN70" s="79">
        <v>0</v>
      </c>
      <c r="CO70" s="79">
        <v>0</v>
      </c>
      <c r="CP70" s="79">
        <v>0</v>
      </c>
      <c r="CQ70" s="79">
        <v>5371.9685039370088</v>
      </c>
      <c r="CR70" s="79">
        <v>0</v>
      </c>
      <c r="CS70" s="79">
        <v>20494.618181818179</v>
      </c>
      <c r="CT70" s="79"/>
      <c r="CU70" s="79">
        <v>0</v>
      </c>
      <c r="CV70" s="79"/>
      <c r="CW70" s="79">
        <v>0</v>
      </c>
      <c r="CX70" s="79">
        <v>0</v>
      </c>
      <c r="CY70" s="79">
        <v>0</v>
      </c>
      <c r="CZ70" s="79">
        <v>0</v>
      </c>
      <c r="DA70" s="79">
        <v>37200</v>
      </c>
      <c r="DB70" s="79">
        <v>91486.941495733568</v>
      </c>
      <c r="DC70" s="82">
        <v>0</v>
      </c>
      <c r="DD70" s="79">
        <v>0</v>
      </c>
      <c r="DE70" s="79"/>
      <c r="DF70" s="79">
        <v>21900</v>
      </c>
      <c r="DG70" s="79">
        <v>0</v>
      </c>
      <c r="DH70" s="83">
        <v>0</v>
      </c>
      <c r="DI70" s="79">
        <v>16541.616544689699</v>
      </c>
      <c r="DJ70" s="79">
        <v>6153481.3546245676</v>
      </c>
      <c r="DK70" s="84">
        <v>-4.6245679259300232E-3</v>
      </c>
      <c r="DL70" s="84">
        <v>0</v>
      </c>
      <c r="DM70" s="84">
        <f t="shared" si="54"/>
        <v>6153481.3499999996</v>
      </c>
      <c r="DN70" s="84">
        <f>'[7]FY20 Initial Budget Alloca FTE'!F70*DN$1</f>
        <v>589804.53795275604</v>
      </c>
      <c r="DO70" s="81">
        <f t="shared" si="40"/>
        <v>53127.8</v>
      </c>
      <c r="DP70" s="81">
        <f t="shared" si="55"/>
        <v>354614.79709777003</v>
      </c>
      <c r="DQ70" s="74">
        <f t="shared" si="56"/>
        <v>182061.94085498602</v>
      </c>
      <c r="DR70" s="85">
        <f t="shared" si="37"/>
        <v>0.308681824468379</v>
      </c>
      <c r="DS70" s="81">
        <f t="shared" si="57"/>
        <v>3844872.2020296101</v>
      </c>
      <c r="DT70" s="81">
        <f t="shared" si="41"/>
        <v>1368209.0384442576</v>
      </c>
      <c r="DU70" s="81">
        <f t="shared" si="42"/>
        <v>109114.27619794433</v>
      </c>
      <c r="DV70" s="81">
        <f t="shared" si="34"/>
        <v>187398.5</v>
      </c>
      <c r="DW70" s="81">
        <f t="shared" si="43"/>
        <v>0</v>
      </c>
      <c r="DX70" s="81">
        <f t="shared" si="44"/>
        <v>0</v>
      </c>
      <c r="DY70" s="81">
        <f t="shared" si="45"/>
        <v>0</v>
      </c>
      <c r="DZ70" s="81">
        <f t="shared" si="46"/>
        <v>54082.8</v>
      </c>
      <c r="EA70" s="74">
        <f t="shared" si="47"/>
        <v>182061.94085498602</v>
      </c>
      <c r="EB70" s="81">
        <f t="shared" si="48"/>
        <v>53127.8</v>
      </c>
      <c r="EC70" s="81">
        <f t="shared" si="48"/>
        <v>354614.79709777003</v>
      </c>
      <c r="ED70" s="86">
        <f t="shared" si="58"/>
        <v>0.308681824468379</v>
      </c>
      <c r="EE70" s="81">
        <f t="shared" si="59"/>
        <v>589804.53795275604</v>
      </c>
      <c r="EF70" s="81">
        <f t="shared" si="60"/>
        <v>6153481.3546245676</v>
      </c>
      <c r="EG70" s="81">
        <f t="shared" si="49"/>
        <v>0</v>
      </c>
      <c r="EH70" s="81">
        <v>5596687.9680566853</v>
      </c>
      <c r="EI70" s="84">
        <f t="shared" si="35"/>
        <v>6099398.5546245677</v>
      </c>
      <c r="EJ70" s="74">
        <f t="shared" si="50"/>
        <v>556793.38656788226</v>
      </c>
      <c r="EK70" s="74">
        <f t="shared" si="51"/>
        <v>502710.58656788245</v>
      </c>
      <c r="EM70" s="88">
        <f t="shared" si="52"/>
        <v>372</v>
      </c>
      <c r="EN70" s="74">
        <v>353</v>
      </c>
      <c r="EO70" s="74">
        <f t="shared" si="53"/>
        <v>19</v>
      </c>
      <c r="EP70" s="72">
        <v>361</v>
      </c>
      <c r="EQ70" s="74">
        <f t="shared" si="61"/>
        <v>8</v>
      </c>
      <c r="ER70" s="72">
        <v>325</v>
      </c>
      <c r="ES70" s="74">
        <f t="shared" si="62"/>
        <v>47</v>
      </c>
      <c r="ET70" s="74"/>
      <c r="EU70" s="74"/>
      <c r="EV70" s="74"/>
      <c r="EW70" s="89"/>
      <c r="EX70" s="81">
        <f t="shared" si="38"/>
        <v>5735546.5264430791</v>
      </c>
      <c r="EY70" s="81">
        <f t="shared" si="39"/>
        <v>417934.82818148873</v>
      </c>
    </row>
    <row r="71" spans="1:155" x14ac:dyDescent="0.25">
      <c r="A71" s="76">
        <v>285</v>
      </c>
      <c r="B71" s="76" t="s">
        <v>210</v>
      </c>
      <c r="C71" s="77" t="s">
        <v>135</v>
      </c>
      <c r="D71" s="41">
        <v>8</v>
      </c>
      <c r="E71" s="78">
        <v>311</v>
      </c>
      <c r="F71" s="78">
        <v>280.03110047846894</v>
      </c>
      <c r="G71" s="79">
        <v>173177.12015668923</v>
      </c>
      <c r="H71" s="79">
        <v>109114.27619794433</v>
      </c>
      <c r="I71" s="79">
        <v>112316.1761253514</v>
      </c>
      <c r="J71" s="79">
        <v>0</v>
      </c>
      <c r="K71" s="79">
        <v>0</v>
      </c>
      <c r="L71" s="79">
        <v>81577.320156689224</v>
      </c>
      <c r="M71" s="79">
        <v>59319.676384927567</v>
      </c>
      <c r="N71" s="79">
        <v>0</v>
      </c>
      <c r="O71" s="79">
        <v>0</v>
      </c>
      <c r="P71" s="79">
        <v>0</v>
      </c>
      <c r="Q71" s="79"/>
      <c r="R71" s="79">
        <v>69375.836746740591</v>
      </c>
      <c r="S71" s="79">
        <v>54629.386746740587</v>
      </c>
      <c r="T71" s="79">
        <v>97917.473493481171</v>
      </c>
      <c r="U71" s="79">
        <v>109114.27619794433</v>
      </c>
      <c r="V71" s="79">
        <v>109114.27619794433</v>
      </c>
      <c r="W71" s="79">
        <v>109114.27619794433</v>
      </c>
      <c r="X71" s="79">
        <v>109114.27619794433</v>
      </c>
      <c r="Y71" s="79">
        <v>0</v>
      </c>
      <c r="Z71" s="79"/>
      <c r="AA71" s="79">
        <v>218228.55239588866</v>
      </c>
      <c r="AB71" s="79">
        <v>68805.252769855142</v>
      </c>
      <c r="AC71" s="79">
        <v>109114.27619794433</v>
      </c>
      <c r="AD71" s="79">
        <v>34402.626384927571</v>
      </c>
      <c r="AE71" s="79">
        <v>218228.55239588866</v>
      </c>
      <c r="AF71" s="79">
        <v>68805.252769855142</v>
      </c>
      <c r="AG71" s="79">
        <v>218228.55239588866</v>
      </c>
      <c r="AH71" s="79">
        <v>68805.252769855142</v>
      </c>
      <c r="AI71" s="79">
        <v>218228.55239588866</v>
      </c>
      <c r="AJ71" s="79">
        <v>218228.55239588866</v>
      </c>
      <c r="AK71" s="79">
        <v>218228.55239588866</v>
      </c>
      <c r="AL71" s="79">
        <v>218228.55239588866</v>
      </c>
      <c r="AM71" s="79">
        <v>218228.55239588866</v>
      </c>
      <c r="AN71" s="79">
        <v>0</v>
      </c>
      <c r="AO71" s="79">
        <v>0</v>
      </c>
      <c r="AP71" s="79">
        <v>0</v>
      </c>
      <c r="AQ71" s="79">
        <v>0</v>
      </c>
      <c r="AR71" s="79">
        <v>0</v>
      </c>
      <c r="AS71" s="79">
        <v>0</v>
      </c>
      <c r="AT71" s="79">
        <v>0</v>
      </c>
      <c r="AU71" s="79">
        <v>0</v>
      </c>
      <c r="AV71" s="79"/>
      <c r="AW71" s="79">
        <v>0</v>
      </c>
      <c r="AX71" s="79">
        <v>109114.27619794433</v>
      </c>
      <c r="AY71" s="79">
        <v>218228.55239588866</v>
      </c>
      <c r="AZ71" s="79">
        <v>436457.10479177732</v>
      </c>
      <c r="BA71" s="79">
        <v>68805.252769855142</v>
      </c>
      <c r="BB71" s="79">
        <v>0</v>
      </c>
      <c r="BC71" s="79">
        <v>0</v>
      </c>
      <c r="BD71" s="79">
        <v>4959.7398271792881</v>
      </c>
      <c r="BE71" s="79">
        <v>0</v>
      </c>
      <c r="BF71" s="79">
        <v>0</v>
      </c>
      <c r="BG71" s="79">
        <f>29930-BL71</f>
        <v>12721.400000000001</v>
      </c>
      <c r="BH71" s="79">
        <v>28060</v>
      </c>
      <c r="BI71" s="79">
        <v>0</v>
      </c>
      <c r="BJ71" s="79"/>
      <c r="BK71" s="79">
        <v>0</v>
      </c>
      <c r="BL71" s="79">
        <v>17208.599999999999</v>
      </c>
      <c r="BM71" s="79">
        <v>190155.65</v>
      </c>
      <c r="BN71" s="79">
        <v>3025.87</v>
      </c>
      <c r="BO71" s="79">
        <v>0</v>
      </c>
      <c r="BP71" s="79">
        <v>0</v>
      </c>
      <c r="BQ71" s="79">
        <v>0</v>
      </c>
      <c r="BR71" s="79">
        <v>0</v>
      </c>
      <c r="BS71" s="79">
        <v>0</v>
      </c>
      <c r="BT71" s="79">
        <v>109114.27619794433</v>
      </c>
      <c r="BU71" s="79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80">
        <v>0</v>
      </c>
      <c r="CC71" s="80">
        <v>0</v>
      </c>
      <c r="CD71" s="79">
        <v>0</v>
      </c>
      <c r="CE71" s="79">
        <v>0</v>
      </c>
      <c r="CF71" s="79">
        <v>0</v>
      </c>
      <c r="CG71" s="79">
        <v>0</v>
      </c>
      <c r="CH71" s="79">
        <v>0</v>
      </c>
      <c r="CI71" s="79">
        <v>0</v>
      </c>
      <c r="CJ71" s="79">
        <v>0</v>
      </c>
      <c r="CK71" s="79">
        <v>0</v>
      </c>
      <c r="CL71" s="79">
        <v>0</v>
      </c>
      <c r="CM71" s="79">
        <v>54082.8</v>
      </c>
      <c r="CN71" s="79">
        <v>0</v>
      </c>
      <c r="CO71" s="79">
        <v>0</v>
      </c>
      <c r="CP71" s="79">
        <v>75000</v>
      </c>
      <c r="CQ71" s="79">
        <v>11201.244019138758</v>
      </c>
      <c r="CR71" s="79">
        <v>0</v>
      </c>
      <c r="CS71" s="79">
        <v>18592.364583333336</v>
      </c>
      <c r="CT71" s="79"/>
      <c r="CU71" s="79">
        <v>0</v>
      </c>
      <c r="CV71" s="79"/>
      <c r="CW71" s="79">
        <v>0</v>
      </c>
      <c r="CX71" s="79">
        <v>0</v>
      </c>
      <c r="CY71" s="79">
        <v>0</v>
      </c>
      <c r="CZ71" s="79">
        <v>0</v>
      </c>
      <c r="DA71" s="79">
        <v>31100</v>
      </c>
      <c r="DB71" s="79">
        <v>66448.087067164772</v>
      </c>
      <c r="DC71" s="82">
        <v>0</v>
      </c>
      <c r="DD71" s="79">
        <v>0</v>
      </c>
      <c r="DE71" s="79"/>
      <c r="DF71" s="79">
        <v>39200</v>
      </c>
      <c r="DG71" s="79">
        <v>0</v>
      </c>
      <c r="DH71" s="83">
        <v>238836.93059527074</v>
      </c>
      <c r="DI71" s="79">
        <v>16147.773631207023</v>
      </c>
      <c r="DJ71" s="79">
        <v>5021957.5993053839</v>
      </c>
      <c r="DK71" s="84">
        <v>6.9461576640605927E-4</v>
      </c>
      <c r="DL71" s="84">
        <v>106759.35</v>
      </c>
      <c r="DM71" s="84">
        <f t="shared" si="54"/>
        <v>5128716.9499999993</v>
      </c>
      <c r="DN71" s="84">
        <f>'[7]FY20 Initial Budget Alloca FTE'!F71*DN$1</f>
        <v>614909.09229665087</v>
      </c>
      <c r="DO71" s="81">
        <f t="shared" si="40"/>
        <v>40781.4</v>
      </c>
      <c r="DP71" s="81">
        <f t="shared" si="55"/>
        <v>234515.5202170831</v>
      </c>
      <c r="DQ71" s="74">
        <f t="shared" si="56"/>
        <v>339612.17207956774</v>
      </c>
      <c r="DR71" s="85">
        <f t="shared" si="37"/>
        <v>0.55229655299311864</v>
      </c>
      <c r="DS71" s="81">
        <f t="shared" si="57"/>
        <v>3066173.7304308182</v>
      </c>
      <c r="DT71" s="81">
        <f t="shared" si="41"/>
        <v>832605.18615546543</v>
      </c>
      <c r="DU71" s="81">
        <f t="shared" si="42"/>
        <v>4959.7398271792881</v>
      </c>
      <c r="DV71" s="81">
        <f t="shared" si="34"/>
        <v>210390.12</v>
      </c>
      <c r="DW71" s="81">
        <f t="shared" si="43"/>
        <v>0</v>
      </c>
      <c r="DX71" s="81">
        <f t="shared" si="44"/>
        <v>0</v>
      </c>
      <c r="DY71" s="81">
        <f t="shared" si="45"/>
        <v>238836.93059527074</v>
      </c>
      <c r="DZ71" s="81">
        <f t="shared" si="46"/>
        <v>54082.8</v>
      </c>
      <c r="EA71" s="74">
        <f t="shared" si="47"/>
        <v>339612.17207956774</v>
      </c>
      <c r="EB71" s="81">
        <f t="shared" si="48"/>
        <v>40781.4</v>
      </c>
      <c r="EC71" s="81">
        <f t="shared" si="48"/>
        <v>234515.5202170831</v>
      </c>
      <c r="ED71" s="86">
        <f t="shared" si="58"/>
        <v>0.55229655299311864</v>
      </c>
      <c r="EE71" s="81">
        <f t="shared" si="59"/>
        <v>614909.09229665087</v>
      </c>
      <c r="EF71" s="81">
        <f t="shared" si="60"/>
        <v>5021957.5993053848</v>
      </c>
      <c r="EG71" s="81">
        <f t="shared" si="49"/>
        <v>0</v>
      </c>
      <c r="EH71" s="81">
        <v>5259653.0103897471</v>
      </c>
      <c r="EI71" s="84">
        <f t="shared" si="35"/>
        <v>4967874.799305384</v>
      </c>
      <c r="EJ71" s="74">
        <f t="shared" si="50"/>
        <v>-237695.41108436324</v>
      </c>
      <c r="EK71" s="74">
        <f t="shared" si="51"/>
        <v>-291778.21108436305</v>
      </c>
      <c r="EM71" s="88">
        <f t="shared" si="52"/>
        <v>311</v>
      </c>
      <c r="EN71" s="74">
        <v>403</v>
      </c>
      <c r="EO71" s="74">
        <f t="shared" si="53"/>
        <v>-92</v>
      </c>
      <c r="EP71" s="90">
        <v>323</v>
      </c>
      <c r="EQ71" s="74">
        <f t="shared" si="61"/>
        <v>-80</v>
      </c>
      <c r="ER71" s="72">
        <v>399</v>
      </c>
      <c r="ES71" s="74">
        <f t="shared" si="62"/>
        <v>-88</v>
      </c>
      <c r="ET71" s="74"/>
      <c r="EU71" s="74"/>
      <c r="EV71" s="74"/>
      <c r="EW71" s="89"/>
      <c r="EX71" s="81">
        <f t="shared" si="38"/>
        <v>4277106.0530404765</v>
      </c>
      <c r="EY71" s="81">
        <f t="shared" si="39"/>
        <v>744851.54626490758</v>
      </c>
    </row>
    <row r="72" spans="1:155" x14ac:dyDescent="0.25">
      <c r="A72" s="76">
        <v>287</v>
      </c>
      <c r="B72" s="76" t="s">
        <v>211</v>
      </c>
      <c r="C72" s="77" t="s">
        <v>135</v>
      </c>
      <c r="D72" s="41">
        <v>3</v>
      </c>
      <c r="E72" s="78">
        <v>614</v>
      </c>
      <c r="F72" s="78">
        <v>32.78125</v>
      </c>
      <c r="G72" s="79">
        <v>173177.12015668923</v>
      </c>
      <c r="H72" s="79">
        <v>109114.27619794433</v>
      </c>
      <c r="I72" s="79">
        <v>210592.83023503385</v>
      </c>
      <c r="J72" s="79">
        <v>0</v>
      </c>
      <c r="K72" s="79">
        <v>0</v>
      </c>
      <c r="L72" s="79">
        <v>81577.320156689224</v>
      </c>
      <c r="M72" s="79">
        <v>59319.676384927567</v>
      </c>
      <c r="N72" s="79">
        <v>66952.989577391359</v>
      </c>
      <c r="O72" s="79">
        <v>0</v>
      </c>
      <c r="P72" s="79">
        <v>0</v>
      </c>
      <c r="Q72" s="79"/>
      <c r="R72" s="79">
        <v>69375.836746740591</v>
      </c>
      <c r="S72" s="79">
        <v>54629.386746740587</v>
      </c>
      <c r="T72" s="79">
        <v>195834.94698696234</v>
      </c>
      <c r="U72" s="79">
        <v>109114.27619794433</v>
      </c>
      <c r="V72" s="79">
        <v>109114.27619794433</v>
      </c>
      <c r="W72" s="79">
        <v>109114.27619794433</v>
      </c>
      <c r="X72" s="79">
        <v>109114.27619794433</v>
      </c>
      <c r="Y72" s="79">
        <v>272785.69049486081</v>
      </c>
      <c r="Z72" s="79"/>
      <c r="AA72" s="79">
        <v>0</v>
      </c>
      <c r="AB72" s="79">
        <v>0</v>
      </c>
      <c r="AC72" s="79">
        <v>0</v>
      </c>
      <c r="AD72" s="79">
        <v>0</v>
      </c>
      <c r="AE72" s="79">
        <v>327342.82859383302</v>
      </c>
      <c r="AF72" s="79">
        <v>103207.87915478271</v>
      </c>
      <c r="AG72" s="79">
        <v>436457.10479177732</v>
      </c>
      <c r="AH72" s="79">
        <v>137610.50553971028</v>
      </c>
      <c r="AI72" s="79">
        <v>436457.10479177732</v>
      </c>
      <c r="AJ72" s="79">
        <v>436457.10479177732</v>
      </c>
      <c r="AK72" s="79">
        <v>436457.10479177732</v>
      </c>
      <c r="AL72" s="79">
        <v>436457.10479177732</v>
      </c>
      <c r="AM72" s="79">
        <v>545571.38098972163</v>
      </c>
      <c r="AN72" s="79">
        <v>0</v>
      </c>
      <c r="AO72" s="79">
        <v>0</v>
      </c>
      <c r="AP72" s="79">
        <v>0</v>
      </c>
      <c r="AQ72" s="79">
        <v>0</v>
      </c>
      <c r="AR72" s="79">
        <v>0</v>
      </c>
      <c r="AS72" s="79">
        <v>0</v>
      </c>
      <c r="AT72" s="79">
        <v>0</v>
      </c>
      <c r="AU72" s="79">
        <v>0</v>
      </c>
      <c r="AV72" s="79"/>
      <c r="AW72" s="79">
        <v>0</v>
      </c>
      <c r="AX72" s="79">
        <v>54557.138098972166</v>
      </c>
      <c r="AY72" s="79">
        <v>218228.55239588866</v>
      </c>
      <c r="AZ72" s="79">
        <v>436457.10479177732</v>
      </c>
      <c r="BA72" s="79">
        <v>34402.626384927571</v>
      </c>
      <c r="BB72" s="79">
        <v>0</v>
      </c>
      <c r="BC72" s="79">
        <v>0</v>
      </c>
      <c r="BD72" s="79">
        <v>327342.82859383302</v>
      </c>
      <c r="BE72" s="79">
        <v>0</v>
      </c>
      <c r="BF72" s="79">
        <v>0</v>
      </c>
      <c r="BG72" s="79">
        <v>0</v>
      </c>
      <c r="BH72" s="79">
        <v>0</v>
      </c>
      <c r="BI72" s="79">
        <v>0</v>
      </c>
      <c r="BJ72" s="79"/>
      <c r="BK72" s="79">
        <v>0</v>
      </c>
      <c r="BL72" s="79"/>
      <c r="BM72" s="79">
        <v>0</v>
      </c>
      <c r="BN72" s="79">
        <v>0</v>
      </c>
      <c r="BO72" s="79">
        <v>14325</v>
      </c>
      <c r="BP72" s="79">
        <v>0</v>
      </c>
      <c r="BQ72" s="79">
        <v>0</v>
      </c>
      <c r="BR72" s="79">
        <v>0</v>
      </c>
      <c r="BS72" s="79">
        <v>0</v>
      </c>
      <c r="BT72" s="79">
        <v>0</v>
      </c>
      <c r="BU72" s="79">
        <v>0</v>
      </c>
      <c r="BV72" s="80">
        <v>0</v>
      </c>
      <c r="BW72" s="80">
        <v>0</v>
      </c>
      <c r="BX72" s="80">
        <v>0</v>
      </c>
      <c r="BY72" s="80">
        <v>0</v>
      </c>
      <c r="BZ72" s="80">
        <v>0</v>
      </c>
      <c r="CA72" s="80">
        <v>0</v>
      </c>
      <c r="CB72" s="80">
        <v>0</v>
      </c>
      <c r="CC72" s="80">
        <v>0</v>
      </c>
      <c r="CD72" s="79">
        <v>0</v>
      </c>
      <c r="CE72" s="79">
        <v>0</v>
      </c>
      <c r="CF72" s="79">
        <v>0</v>
      </c>
      <c r="CG72" s="79">
        <v>0</v>
      </c>
      <c r="CH72" s="79">
        <v>0</v>
      </c>
      <c r="CI72" s="79">
        <v>0</v>
      </c>
      <c r="CJ72" s="79">
        <v>0</v>
      </c>
      <c r="CK72" s="79">
        <v>0</v>
      </c>
      <c r="CL72" s="79">
        <v>0</v>
      </c>
      <c r="CM72" s="79">
        <v>108165.6</v>
      </c>
      <c r="CN72" s="79">
        <v>0</v>
      </c>
      <c r="CO72" s="79">
        <v>0</v>
      </c>
      <c r="CP72" s="79">
        <v>0</v>
      </c>
      <c r="CQ72" s="79">
        <v>0</v>
      </c>
      <c r="CR72" s="79">
        <v>0</v>
      </c>
      <c r="CS72" s="79">
        <v>32300.049095607235</v>
      </c>
      <c r="CT72" s="79"/>
      <c r="CU72" s="79">
        <v>0</v>
      </c>
      <c r="CV72" s="79"/>
      <c r="CW72" s="79">
        <v>0</v>
      </c>
      <c r="CX72" s="79">
        <v>0</v>
      </c>
      <c r="CY72" s="79">
        <v>0</v>
      </c>
      <c r="CZ72" s="79">
        <v>0</v>
      </c>
      <c r="DA72" s="79">
        <v>61400</v>
      </c>
      <c r="DB72" s="79">
        <v>98158.859106347241</v>
      </c>
      <c r="DC72" s="82">
        <v>0</v>
      </c>
      <c r="DD72" s="79">
        <v>0</v>
      </c>
      <c r="DE72" s="79"/>
      <c r="DF72" s="79">
        <v>5100</v>
      </c>
      <c r="DG72" s="79">
        <v>0</v>
      </c>
      <c r="DH72" s="83">
        <v>0</v>
      </c>
      <c r="DI72" s="79">
        <v>10449.956115928409</v>
      </c>
      <c r="DJ72" s="79">
        <v>6416273.0551800439</v>
      </c>
      <c r="DK72" s="84">
        <v>4.8199556767940521E-3</v>
      </c>
      <c r="DL72" s="84">
        <v>0</v>
      </c>
      <c r="DM72" s="84">
        <f t="shared" si="54"/>
        <v>6416273.0599999996</v>
      </c>
      <c r="DN72" s="84">
        <f>'[7]FY20 Initial Budget Alloca FTE'!F72*DN$1</f>
        <v>71983.035625000004</v>
      </c>
      <c r="DO72" s="81">
        <f t="shared" si="40"/>
        <v>0</v>
      </c>
      <c r="DP72" s="81">
        <f t="shared" si="55"/>
        <v>5100</v>
      </c>
      <c r="DQ72" s="74">
        <f t="shared" si="56"/>
        <v>66883.035625000004</v>
      </c>
      <c r="DR72" s="85">
        <f t="shared" si="37"/>
        <v>0.92914997324412996</v>
      </c>
      <c r="DS72" s="81">
        <f t="shared" si="57"/>
        <v>5150811.1692896457</v>
      </c>
      <c r="DT72" s="81">
        <f t="shared" si="41"/>
        <v>743645.42167156574</v>
      </c>
      <c r="DU72" s="81">
        <f t="shared" si="42"/>
        <v>327342.82859383302</v>
      </c>
      <c r="DV72" s="81">
        <f t="shared" si="34"/>
        <v>14325</v>
      </c>
      <c r="DW72" s="81">
        <f t="shared" si="43"/>
        <v>0</v>
      </c>
      <c r="DX72" s="81">
        <f t="shared" si="44"/>
        <v>0</v>
      </c>
      <c r="DY72" s="81">
        <f t="shared" si="45"/>
        <v>0</v>
      </c>
      <c r="DZ72" s="81">
        <f t="shared" si="46"/>
        <v>108165.6</v>
      </c>
      <c r="EA72" s="74">
        <f t="shared" si="47"/>
        <v>66883.035625000004</v>
      </c>
      <c r="EB72" s="81">
        <f t="shared" si="48"/>
        <v>0</v>
      </c>
      <c r="EC72" s="81">
        <f t="shared" si="48"/>
        <v>5100</v>
      </c>
      <c r="ED72" s="86">
        <f t="shared" si="58"/>
        <v>0.92914997324412996</v>
      </c>
      <c r="EE72" s="81">
        <f t="shared" si="59"/>
        <v>71983.035625000004</v>
      </c>
      <c r="EF72" s="81">
        <f t="shared" si="60"/>
        <v>6416273.0551800439</v>
      </c>
      <c r="EG72" s="81">
        <f t="shared" si="49"/>
        <v>0</v>
      </c>
      <c r="EH72" s="81">
        <v>6209544.8226784999</v>
      </c>
      <c r="EI72" s="84">
        <f t="shared" si="35"/>
        <v>6308107.4551800443</v>
      </c>
      <c r="EJ72" s="74">
        <f t="shared" si="50"/>
        <v>206728.23250154406</v>
      </c>
      <c r="EK72" s="74">
        <f t="shared" si="51"/>
        <v>98562.632501544431</v>
      </c>
      <c r="EM72" s="88">
        <f t="shared" si="52"/>
        <v>614</v>
      </c>
      <c r="EN72" s="74">
        <v>620</v>
      </c>
      <c r="EO72" s="74">
        <f t="shared" si="53"/>
        <v>-6</v>
      </c>
      <c r="EP72" s="72">
        <v>601</v>
      </c>
      <c r="EQ72" s="74">
        <f t="shared" si="61"/>
        <v>-19</v>
      </c>
      <c r="ER72" s="72">
        <v>544</v>
      </c>
      <c r="ES72" s="74">
        <f t="shared" si="62"/>
        <v>70</v>
      </c>
      <c r="ET72" s="74"/>
      <c r="EU72" s="74"/>
      <c r="EV72" s="74"/>
      <c r="EW72" s="89"/>
      <c r="EX72" s="81">
        <f t="shared" si="38"/>
        <v>6096823.54697809</v>
      </c>
      <c r="EY72" s="81">
        <f t="shared" si="39"/>
        <v>319449.50820195448</v>
      </c>
    </row>
    <row r="73" spans="1:155" x14ac:dyDescent="0.25">
      <c r="A73" s="76">
        <v>288</v>
      </c>
      <c r="B73" s="76" t="s">
        <v>212</v>
      </c>
      <c r="C73" s="77" t="s">
        <v>135</v>
      </c>
      <c r="D73" s="41">
        <v>7</v>
      </c>
      <c r="E73" s="78">
        <v>354</v>
      </c>
      <c r="F73" s="78">
        <v>281.76732673267327</v>
      </c>
      <c r="G73" s="79">
        <v>173177.12015668923</v>
      </c>
      <c r="H73" s="79">
        <v>109114.27619794433</v>
      </c>
      <c r="I73" s="79">
        <v>126355.69814102032</v>
      </c>
      <c r="J73" s="79">
        <v>0</v>
      </c>
      <c r="K73" s="79">
        <v>0</v>
      </c>
      <c r="L73" s="79">
        <v>81577.320156689224</v>
      </c>
      <c r="M73" s="79">
        <v>59319.676384927567</v>
      </c>
      <c r="N73" s="79">
        <v>0</v>
      </c>
      <c r="O73" s="79">
        <v>0</v>
      </c>
      <c r="P73" s="79">
        <v>0</v>
      </c>
      <c r="Q73" s="79"/>
      <c r="R73" s="79">
        <v>69375.836746740591</v>
      </c>
      <c r="S73" s="79">
        <v>54629.386746740587</v>
      </c>
      <c r="T73" s="79">
        <v>97917.473493481171</v>
      </c>
      <c r="U73" s="79">
        <v>109114.27619794433</v>
      </c>
      <c r="V73" s="79">
        <v>109114.27619794433</v>
      </c>
      <c r="W73" s="79">
        <v>109114.27619794433</v>
      </c>
      <c r="X73" s="79">
        <v>109114.27619794433</v>
      </c>
      <c r="Y73" s="79">
        <f>109114.276197944-Z73</f>
        <v>-3.3469405025243759E-10</v>
      </c>
      <c r="Z73" s="79">
        <v>109114.27619794433</v>
      </c>
      <c r="AA73" s="79">
        <v>0</v>
      </c>
      <c r="AB73" s="79">
        <v>0</v>
      </c>
      <c r="AC73" s="79">
        <v>654685.65718766605</v>
      </c>
      <c r="AD73" s="79">
        <v>206415.75830956543</v>
      </c>
      <c r="AE73" s="79">
        <v>0</v>
      </c>
      <c r="AF73" s="79">
        <v>0</v>
      </c>
      <c r="AG73" s="79">
        <v>327342.82859383302</v>
      </c>
      <c r="AH73" s="79">
        <v>103207.87915478271</v>
      </c>
      <c r="AI73" s="79">
        <v>218228.55239588866</v>
      </c>
      <c r="AJ73" s="79">
        <v>218228.55239588866</v>
      </c>
      <c r="AK73" s="79">
        <v>218228.55239588866</v>
      </c>
      <c r="AL73" s="79">
        <v>218228.55239588866</v>
      </c>
      <c r="AM73" s="79">
        <v>218228.55239588866</v>
      </c>
      <c r="AN73" s="79">
        <v>0</v>
      </c>
      <c r="AO73" s="79">
        <v>0</v>
      </c>
      <c r="AP73" s="79">
        <v>0</v>
      </c>
      <c r="AQ73" s="79">
        <v>0</v>
      </c>
      <c r="AR73" s="79">
        <v>0</v>
      </c>
      <c r="AS73" s="79">
        <v>0</v>
      </c>
      <c r="AT73" s="79">
        <v>0</v>
      </c>
      <c r="AU73" s="79">
        <v>0</v>
      </c>
      <c r="AV73" s="79"/>
      <c r="AW73" s="79">
        <v>0</v>
      </c>
      <c r="AX73" s="79">
        <v>109114.27619794433</v>
      </c>
      <c r="AY73" s="79">
        <v>109114.27619794433</v>
      </c>
      <c r="AZ73" s="79">
        <v>436457.10479177732</v>
      </c>
      <c r="BA73" s="79">
        <v>34402.626384927571</v>
      </c>
      <c r="BB73" s="79">
        <v>48063.47638492757</v>
      </c>
      <c r="BC73" s="79">
        <v>0</v>
      </c>
      <c r="BD73" s="79">
        <v>109114.27619794433</v>
      </c>
      <c r="BE73" s="79">
        <v>0</v>
      </c>
      <c r="BF73" s="79">
        <v>0</v>
      </c>
      <c r="BG73" s="79">
        <v>0</v>
      </c>
      <c r="BH73" s="79">
        <v>0</v>
      </c>
      <c r="BI73" s="79">
        <v>0</v>
      </c>
      <c r="BJ73" s="79"/>
      <c r="BK73" s="79">
        <v>0</v>
      </c>
      <c r="BL73" s="79"/>
      <c r="BM73" s="79">
        <v>183975.59</v>
      </c>
      <c r="BN73" s="79">
        <v>2927.53</v>
      </c>
      <c r="BO73" s="79">
        <v>0</v>
      </c>
      <c r="BP73" s="79">
        <v>0</v>
      </c>
      <c r="BQ73" s="79">
        <v>0</v>
      </c>
      <c r="BR73" s="79">
        <v>0</v>
      </c>
      <c r="BS73" s="79">
        <v>0</v>
      </c>
      <c r="BT73" s="79">
        <v>0</v>
      </c>
      <c r="BU73" s="79">
        <v>0</v>
      </c>
      <c r="BV73" s="80">
        <v>0</v>
      </c>
      <c r="BW73" s="80">
        <v>0</v>
      </c>
      <c r="BX73" s="80">
        <v>0</v>
      </c>
      <c r="BY73" s="80">
        <v>0</v>
      </c>
      <c r="BZ73" s="80">
        <v>0</v>
      </c>
      <c r="CA73" s="80">
        <v>0</v>
      </c>
      <c r="CB73" s="80">
        <v>0</v>
      </c>
      <c r="CC73" s="80">
        <v>0</v>
      </c>
      <c r="CD73" s="79">
        <v>0</v>
      </c>
      <c r="CE73" s="79">
        <v>0</v>
      </c>
      <c r="CF73" s="79">
        <v>0</v>
      </c>
      <c r="CG73" s="79">
        <v>0</v>
      </c>
      <c r="CH73" s="79">
        <v>0</v>
      </c>
      <c r="CI73" s="79">
        <v>0</v>
      </c>
      <c r="CJ73" s="79">
        <v>0</v>
      </c>
      <c r="CK73" s="79">
        <v>0</v>
      </c>
      <c r="CL73" s="79">
        <v>0</v>
      </c>
      <c r="CM73" s="79">
        <v>54082.8</v>
      </c>
      <c r="CN73" s="79">
        <v>0</v>
      </c>
      <c r="CO73" s="79">
        <v>0</v>
      </c>
      <c r="CP73" s="79">
        <v>0</v>
      </c>
      <c r="CQ73" s="79">
        <v>11270.69306930693</v>
      </c>
      <c r="CR73" s="79">
        <v>181240</v>
      </c>
      <c r="CS73" s="79">
        <v>20859.575000000001</v>
      </c>
      <c r="CT73" s="79"/>
      <c r="CU73" s="79">
        <v>0</v>
      </c>
      <c r="CV73" s="79"/>
      <c r="CW73" s="79">
        <v>0</v>
      </c>
      <c r="CX73" s="79">
        <v>0</v>
      </c>
      <c r="CY73" s="79">
        <v>0</v>
      </c>
      <c r="CZ73" s="79">
        <v>0</v>
      </c>
      <c r="DA73" s="79">
        <v>35400</v>
      </c>
      <c r="DB73" s="79">
        <v>76110.159355354845</v>
      </c>
      <c r="DC73" s="82">
        <v>0</v>
      </c>
      <c r="DD73" s="79">
        <v>0</v>
      </c>
      <c r="DE73" s="79"/>
      <c r="DF73" s="79">
        <v>24900</v>
      </c>
      <c r="DG73" s="79">
        <v>0</v>
      </c>
      <c r="DH73" s="83">
        <v>0</v>
      </c>
      <c r="DI73" s="79">
        <v>14510.919315873934</v>
      </c>
      <c r="DJ73" s="79">
        <v>5136865.4378193729</v>
      </c>
      <c r="DK73" s="84">
        <v>2.1806275472044945E-3</v>
      </c>
      <c r="DL73" s="84">
        <v>47244.83</v>
      </c>
      <c r="DM73" s="84">
        <f t="shared" si="54"/>
        <v>5184110.2700000005</v>
      </c>
      <c r="DN73" s="84">
        <f>'[7]FY20 Initial Budget Alloca FTE'!F73*DN$1</f>
        <v>618721.60207920801</v>
      </c>
      <c r="DO73" s="81">
        <f t="shared" si="40"/>
        <v>0</v>
      </c>
      <c r="DP73" s="81">
        <f t="shared" si="55"/>
        <v>326524.96926725126</v>
      </c>
      <c r="DQ73" s="74">
        <f t="shared" si="56"/>
        <v>292196.63281195675</v>
      </c>
      <c r="DR73" s="85">
        <f t="shared" si="37"/>
        <v>0.47225865693073066</v>
      </c>
      <c r="DS73" s="81">
        <f t="shared" si="57"/>
        <v>3430891.8795846989</v>
      </c>
      <c r="DT73" s="81">
        <f t="shared" si="41"/>
        <v>737151.75995752111</v>
      </c>
      <c r="DU73" s="81">
        <f t="shared" si="42"/>
        <v>109114.27619794433</v>
      </c>
      <c r="DV73" s="81">
        <f t="shared" si="34"/>
        <v>186903.12</v>
      </c>
      <c r="DW73" s="81">
        <f t="shared" si="43"/>
        <v>0</v>
      </c>
      <c r="DX73" s="81">
        <f t="shared" si="44"/>
        <v>0</v>
      </c>
      <c r="DY73" s="81">
        <f t="shared" si="45"/>
        <v>0</v>
      </c>
      <c r="DZ73" s="81">
        <f t="shared" si="46"/>
        <v>54082.8</v>
      </c>
      <c r="EA73" s="74">
        <f t="shared" si="47"/>
        <v>292196.63281195675</v>
      </c>
      <c r="EB73" s="81">
        <f t="shared" si="48"/>
        <v>0</v>
      </c>
      <c r="EC73" s="81">
        <f t="shared" si="48"/>
        <v>326524.96926725126</v>
      </c>
      <c r="ED73" s="86">
        <f t="shared" si="58"/>
        <v>0.47225865693073066</v>
      </c>
      <c r="EE73" s="81">
        <f t="shared" si="59"/>
        <v>618721.60207920801</v>
      </c>
      <c r="EF73" s="81">
        <f t="shared" si="60"/>
        <v>5136865.4378193729</v>
      </c>
      <c r="EG73" s="81">
        <f t="shared" si="49"/>
        <v>0</v>
      </c>
      <c r="EH73" s="81">
        <v>5254389.1559984274</v>
      </c>
      <c r="EI73" s="84">
        <f t="shared" si="35"/>
        <v>5082782.637819373</v>
      </c>
      <c r="EJ73" s="74">
        <f t="shared" si="50"/>
        <v>-117523.71817905456</v>
      </c>
      <c r="EK73" s="74">
        <f t="shared" si="51"/>
        <v>-171606.51817905437</v>
      </c>
      <c r="EM73" s="88">
        <f t="shared" si="52"/>
        <v>354</v>
      </c>
      <c r="EN73" s="74">
        <v>387</v>
      </c>
      <c r="EO73" s="74">
        <f t="shared" si="53"/>
        <v>-33</v>
      </c>
      <c r="EP73" s="72">
        <v>370</v>
      </c>
      <c r="EQ73" s="74">
        <f t="shared" si="61"/>
        <v>-17</v>
      </c>
      <c r="ER73" s="72">
        <v>405</v>
      </c>
      <c r="ES73" s="74">
        <f t="shared" si="62"/>
        <v>-51</v>
      </c>
      <c r="ET73" s="74"/>
      <c r="EU73" s="74"/>
      <c r="EV73" s="74"/>
      <c r="EW73" s="89"/>
      <c r="EX73" s="81">
        <f t="shared" si="38"/>
        <v>4546099.0903947102</v>
      </c>
      <c r="EY73" s="81">
        <f t="shared" si="39"/>
        <v>590766.34742466174</v>
      </c>
    </row>
    <row r="74" spans="1:155" x14ac:dyDescent="0.25">
      <c r="A74" s="76">
        <v>1071</v>
      </c>
      <c r="B74" s="76" t="s">
        <v>372</v>
      </c>
      <c r="C74" s="77" t="s">
        <v>152</v>
      </c>
      <c r="D74" s="41">
        <v>4</v>
      </c>
      <c r="E74" s="78">
        <v>150</v>
      </c>
      <c r="F74" s="78">
        <v>79</v>
      </c>
      <c r="G74" s="79">
        <v>173177.12015668923</v>
      </c>
      <c r="H74" s="79">
        <v>109114.27619794433</v>
      </c>
      <c r="I74" s="79">
        <v>70197.610078344616</v>
      </c>
      <c r="J74" s="79">
        <v>109114.27619794433</v>
      </c>
      <c r="K74" s="79">
        <v>0</v>
      </c>
      <c r="L74" s="79">
        <v>40788.660078344612</v>
      </c>
      <c r="M74" s="79">
        <v>59319.676384927567</v>
      </c>
      <c r="N74" s="79">
        <v>0</v>
      </c>
      <c r="O74" s="79">
        <v>0</v>
      </c>
      <c r="P74" s="79">
        <v>0</v>
      </c>
      <c r="Q74" s="79"/>
      <c r="R74" s="79">
        <v>69375.836746740591</v>
      </c>
      <c r="S74" s="79">
        <v>54629.386746740587</v>
      </c>
      <c r="T74" s="79">
        <v>48958.736746740586</v>
      </c>
      <c r="U74" s="79">
        <v>54557.138098972166</v>
      </c>
      <c r="V74" s="79">
        <v>0</v>
      </c>
      <c r="W74" s="79">
        <v>0</v>
      </c>
      <c r="X74" s="79">
        <v>0</v>
      </c>
      <c r="Y74" s="79">
        <v>0</v>
      </c>
      <c r="Z74" s="79"/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9">
        <v>0</v>
      </c>
      <c r="AJ74" s="79">
        <v>0</v>
      </c>
      <c r="AK74" s="79">
        <v>0</v>
      </c>
      <c r="AL74" s="79">
        <v>0</v>
      </c>
      <c r="AM74" s="79">
        <v>0</v>
      </c>
      <c r="AN74" s="79">
        <v>741977.07814602146</v>
      </c>
      <c r="AO74" s="79">
        <v>0</v>
      </c>
      <c r="AP74" s="79">
        <v>0</v>
      </c>
      <c r="AQ74" s="79">
        <v>0</v>
      </c>
      <c r="AR74" s="79">
        <v>0</v>
      </c>
      <c r="AS74" s="79">
        <v>0</v>
      </c>
      <c r="AT74" s="79">
        <v>0</v>
      </c>
      <c r="AU74" s="79">
        <v>0</v>
      </c>
      <c r="AV74" s="79"/>
      <c r="AW74" s="79">
        <v>0</v>
      </c>
      <c r="AX74" s="79">
        <v>54557.138098972166</v>
      </c>
      <c r="AY74" s="79">
        <v>54557.138098972166</v>
      </c>
      <c r="AZ74" s="79">
        <v>763799.93338561035</v>
      </c>
      <c r="BA74" s="79">
        <v>172013.13192463786</v>
      </c>
      <c r="BB74" s="79">
        <v>48063.47638492757</v>
      </c>
      <c r="BC74" s="79">
        <v>0</v>
      </c>
      <c r="BD74" s="79">
        <v>545571.38098972163</v>
      </c>
      <c r="BE74" s="79">
        <v>0</v>
      </c>
      <c r="BF74" s="79">
        <v>109114.27619794433</v>
      </c>
      <c r="BG74" s="79">
        <v>0</v>
      </c>
      <c r="BH74" s="79">
        <v>0</v>
      </c>
      <c r="BI74" s="79">
        <v>0</v>
      </c>
      <c r="BJ74" s="79"/>
      <c r="BK74" s="79">
        <v>0</v>
      </c>
      <c r="BL74" s="79"/>
      <c r="BM74" s="79">
        <v>71308.37</v>
      </c>
      <c r="BN74" s="79">
        <v>1134.7</v>
      </c>
      <c r="BO74" s="79">
        <v>0</v>
      </c>
      <c r="BP74" s="79">
        <v>0</v>
      </c>
      <c r="BQ74" s="79">
        <v>0</v>
      </c>
      <c r="BR74" s="79">
        <v>0</v>
      </c>
      <c r="BS74" s="79">
        <v>0</v>
      </c>
      <c r="BT74" s="79">
        <v>0</v>
      </c>
      <c r="BU74" s="79">
        <v>0</v>
      </c>
      <c r="BV74" s="80">
        <v>0</v>
      </c>
      <c r="BW74" s="80">
        <v>0</v>
      </c>
      <c r="BX74" s="80">
        <v>0</v>
      </c>
      <c r="BY74" s="80">
        <v>0</v>
      </c>
      <c r="BZ74" s="80">
        <v>0</v>
      </c>
      <c r="CA74" s="80">
        <v>0</v>
      </c>
      <c r="CB74" s="80">
        <v>0</v>
      </c>
      <c r="CC74" s="80">
        <v>0</v>
      </c>
      <c r="CD74" s="79">
        <v>0</v>
      </c>
      <c r="CE74" s="79">
        <v>0</v>
      </c>
      <c r="CF74" s="79">
        <v>0</v>
      </c>
      <c r="CG74" s="79">
        <v>0</v>
      </c>
      <c r="CH74" s="79">
        <v>0</v>
      </c>
      <c r="CI74" s="79">
        <v>218228.55239588866</v>
      </c>
      <c r="CJ74" s="79">
        <v>0</v>
      </c>
      <c r="CK74" s="79">
        <v>23000</v>
      </c>
      <c r="CL74" s="79">
        <v>5000</v>
      </c>
      <c r="CM74" s="79">
        <v>227444.6</v>
      </c>
      <c r="CN74" s="79">
        <v>100000</v>
      </c>
      <c r="CO74" s="79">
        <v>0</v>
      </c>
      <c r="CP74" s="79">
        <v>0</v>
      </c>
      <c r="CQ74" s="79">
        <v>1580</v>
      </c>
      <c r="CR74" s="79">
        <v>0</v>
      </c>
      <c r="CS74" s="79">
        <v>13129.181818181818</v>
      </c>
      <c r="CT74" s="79"/>
      <c r="CU74" s="79">
        <v>0</v>
      </c>
      <c r="CV74" s="79"/>
      <c r="CW74" s="79">
        <v>0</v>
      </c>
      <c r="CX74" s="79">
        <v>0</v>
      </c>
      <c r="CY74" s="79">
        <v>0</v>
      </c>
      <c r="CZ74" s="79">
        <v>0</v>
      </c>
      <c r="DA74" s="79">
        <v>15000</v>
      </c>
      <c r="DB74" s="79">
        <v>57913.54865120296</v>
      </c>
      <c r="DC74" s="82">
        <v>0</v>
      </c>
      <c r="DD74" s="79">
        <v>125000</v>
      </c>
      <c r="DE74" s="79"/>
      <c r="DF74" s="79">
        <v>0</v>
      </c>
      <c r="DG74" s="79">
        <v>0</v>
      </c>
      <c r="DH74" s="83">
        <v>0</v>
      </c>
      <c r="DI74" s="79">
        <v>27584.168156836462</v>
      </c>
      <c r="DJ74" s="79">
        <v>4137625.2235254697</v>
      </c>
      <c r="DK74" s="84">
        <v>0</v>
      </c>
      <c r="DL74" s="84">
        <v>0</v>
      </c>
      <c r="DM74" s="84">
        <f t="shared" si="54"/>
        <v>4137625.2235254697</v>
      </c>
      <c r="DN74" s="84">
        <f>'[7]FY20 Initial Budget Alloca FTE'!F74*DN$1</f>
        <v>173472.94</v>
      </c>
      <c r="DO74" s="81">
        <f t="shared" si="40"/>
        <v>0</v>
      </c>
      <c r="DP74" s="81">
        <f t="shared" si="55"/>
        <v>1580</v>
      </c>
      <c r="DQ74" s="74">
        <f t="shared" si="56"/>
        <v>171892.94</v>
      </c>
      <c r="DR74" s="85">
        <f t="shared" si="37"/>
        <v>0.99089195121729068</v>
      </c>
      <c r="DS74" s="81">
        <f t="shared" si="57"/>
        <v>1791588.1384446837</v>
      </c>
      <c r="DT74" s="81">
        <f t="shared" si="41"/>
        <v>1092990.81789312</v>
      </c>
      <c r="DU74" s="81">
        <f t="shared" si="42"/>
        <v>654685.65718766593</v>
      </c>
      <c r="DV74" s="81">
        <f t="shared" si="34"/>
        <v>72443.069999999992</v>
      </c>
      <c r="DW74" s="81">
        <f t="shared" si="43"/>
        <v>125000</v>
      </c>
      <c r="DX74" s="81">
        <f t="shared" si="44"/>
        <v>0</v>
      </c>
      <c r="DY74" s="81">
        <f t="shared" si="45"/>
        <v>0</v>
      </c>
      <c r="DZ74" s="81">
        <f t="shared" si="46"/>
        <v>227444.6</v>
      </c>
      <c r="EA74" s="74">
        <f t="shared" si="47"/>
        <v>171892.94</v>
      </c>
      <c r="EB74" s="81">
        <f t="shared" si="48"/>
        <v>0</v>
      </c>
      <c r="EC74" s="81">
        <f t="shared" si="48"/>
        <v>1580</v>
      </c>
      <c r="ED74" s="86">
        <f t="shared" si="58"/>
        <v>0.99089195121729068</v>
      </c>
      <c r="EE74" s="81">
        <f t="shared" si="59"/>
        <v>173472.94</v>
      </c>
      <c r="EF74" s="81">
        <f t="shared" si="60"/>
        <v>4137625.2235254697</v>
      </c>
      <c r="EG74" s="81">
        <f t="shared" si="49"/>
        <v>0</v>
      </c>
      <c r="EH74" s="81">
        <v>0</v>
      </c>
      <c r="EI74" s="84">
        <v>0</v>
      </c>
      <c r="EJ74" s="74">
        <f t="shared" si="50"/>
        <v>4137625.2235254697</v>
      </c>
      <c r="EK74" s="74">
        <f t="shared" si="51"/>
        <v>0</v>
      </c>
      <c r="EM74" s="88">
        <f t="shared" si="52"/>
        <v>150</v>
      </c>
      <c r="EN74" s="74">
        <v>0</v>
      </c>
      <c r="EO74" s="74">
        <f t="shared" si="53"/>
        <v>150</v>
      </c>
      <c r="EP74" s="72">
        <v>0</v>
      </c>
      <c r="EQ74" s="74">
        <f t="shared" si="61"/>
        <v>0</v>
      </c>
      <c r="ER74" s="72" t="e">
        <v>#N/A</v>
      </c>
      <c r="ES74" s="74" t="e">
        <f t="shared" si="62"/>
        <v>#N/A</v>
      </c>
      <c r="ET74" s="74"/>
      <c r="EU74" s="74"/>
      <c r="EV74" s="74"/>
      <c r="EW74" s="89"/>
      <c r="EX74" s="81">
        <f t="shared" si="38"/>
        <v>3497114.8230560846</v>
      </c>
      <c r="EY74" s="81">
        <f t="shared" si="39"/>
        <v>640510.40046938474</v>
      </c>
    </row>
    <row r="75" spans="1:155" x14ac:dyDescent="0.25">
      <c r="A75" s="76">
        <v>290</v>
      </c>
      <c r="B75" s="76" t="s">
        <v>214</v>
      </c>
      <c r="C75" s="77" t="s">
        <v>135</v>
      </c>
      <c r="D75" s="41">
        <v>5</v>
      </c>
      <c r="E75" s="78">
        <v>227</v>
      </c>
      <c r="F75" s="78">
        <v>166.31720430107526</v>
      </c>
      <c r="G75" s="79">
        <v>173177.12015668923</v>
      </c>
      <c r="H75" s="79">
        <v>109114.27619794433</v>
      </c>
      <c r="I75" s="79">
        <v>0</v>
      </c>
      <c r="J75" s="79">
        <v>0</v>
      </c>
      <c r="K75" s="79">
        <v>0</v>
      </c>
      <c r="L75" s="79">
        <v>40788.660078344612</v>
      </c>
      <c r="M75" s="79">
        <v>59319.676384927567</v>
      </c>
      <c r="N75" s="79">
        <v>0</v>
      </c>
      <c r="O75" s="79">
        <v>0</v>
      </c>
      <c r="P75" s="79">
        <v>0</v>
      </c>
      <c r="Q75" s="79"/>
      <c r="R75" s="79">
        <v>69375.836746740591</v>
      </c>
      <c r="S75" s="79">
        <v>54629.386746740587</v>
      </c>
      <c r="T75" s="79">
        <v>48958.736746740586</v>
      </c>
      <c r="U75" s="79">
        <v>54557.138098972166</v>
      </c>
      <c r="V75" s="79">
        <v>109114.27619794433</v>
      </c>
      <c r="W75" s="79">
        <v>109114.27619794433</v>
      </c>
      <c r="X75" s="79">
        <v>109114.27619794433</v>
      </c>
      <c r="Y75" s="79">
        <v>0</v>
      </c>
      <c r="Z75" s="79"/>
      <c r="AA75" s="79">
        <v>109114.27619794433</v>
      </c>
      <c r="AB75" s="79">
        <v>34402.626384927571</v>
      </c>
      <c r="AC75" s="79">
        <v>109114.27619794433</v>
      </c>
      <c r="AD75" s="79">
        <v>34402.626384927571</v>
      </c>
      <c r="AE75" s="79">
        <v>109114.27619794433</v>
      </c>
      <c r="AF75" s="79">
        <v>34402.626384927571</v>
      </c>
      <c r="AG75" s="79">
        <v>218228.55239588866</v>
      </c>
      <c r="AH75" s="79">
        <v>68805.252769855142</v>
      </c>
      <c r="AI75" s="79">
        <v>218228.55239588866</v>
      </c>
      <c r="AJ75" s="79">
        <v>109114.27619794433</v>
      </c>
      <c r="AK75" s="79">
        <v>218228.55239588866</v>
      </c>
      <c r="AL75" s="79">
        <v>109114.27619794433</v>
      </c>
      <c r="AM75" s="79">
        <v>218228.55239588866</v>
      </c>
      <c r="AN75" s="79">
        <v>0</v>
      </c>
      <c r="AO75" s="79">
        <v>0</v>
      </c>
      <c r="AP75" s="79">
        <v>0</v>
      </c>
      <c r="AQ75" s="79">
        <v>0</v>
      </c>
      <c r="AR75" s="79">
        <v>0</v>
      </c>
      <c r="AS75" s="79">
        <v>0</v>
      </c>
      <c r="AT75" s="79">
        <v>0</v>
      </c>
      <c r="AU75" s="79">
        <v>0</v>
      </c>
      <c r="AV75" s="79"/>
      <c r="AW75" s="79">
        <v>0</v>
      </c>
      <c r="AX75" s="79">
        <v>109114.27619794433</v>
      </c>
      <c r="AY75" s="79">
        <v>109114.27619794433</v>
      </c>
      <c r="AZ75" s="79">
        <v>654685.65718766605</v>
      </c>
      <c r="BA75" s="79">
        <v>137610.50553971028</v>
      </c>
      <c r="BB75" s="79">
        <v>0</v>
      </c>
      <c r="BC75" s="79">
        <v>0</v>
      </c>
      <c r="BD75" s="79">
        <v>109114.27619794433</v>
      </c>
      <c r="BE75" s="79">
        <v>0</v>
      </c>
      <c r="BF75" s="79">
        <v>0</v>
      </c>
      <c r="BG75" s="79">
        <f>23944-BL75</f>
        <v>12346.9</v>
      </c>
      <c r="BH75" s="79">
        <v>22448</v>
      </c>
      <c r="BI75" s="79">
        <v>6734</v>
      </c>
      <c r="BJ75" s="79"/>
      <c r="BK75" s="79">
        <v>0</v>
      </c>
      <c r="BL75" s="79">
        <v>11597.1</v>
      </c>
      <c r="BM75" s="79">
        <v>92700.88</v>
      </c>
      <c r="BN75" s="79">
        <v>1475.11</v>
      </c>
      <c r="BO75" s="79">
        <v>0</v>
      </c>
      <c r="BP75" s="79">
        <v>0</v>
      </c>
      <c r="BQ75" s="79">
        <v>0</v>
      </c>
      <c r="BR75" s="79">
        <v>0</v>
      </c>
      <c r="BS75" s="79">
        <v>0</v>
      </c>
      <c r="BT75" s="79">
        <v>0</v>
      </c>
      <c r="BU75" s="79">
        <v>0</v>
      </c>
      <c r="BV75" s="80">
        <v>0</v>
      </c>
      <c r="BW75" s="80">
        <v>0</v>
      </c>
      <c r="BX75" s="80">
        <v>0</v>
      </c>
      <c r="BY75" s="80">
        <v>0</v>
      </c>
      <c r="BZ75" s="80">
        <v>0</v>
      </c>
      <c r="CA75" s="80">
        <v>0</v>
      </c>
      <c r="CB75" s="80">
        <v>0</v>
      </c>
      <c r="CC75" s="80">
        <v>0</v>
      </c>
      <c r="CD75" s="79">
        <v>0</v>
      </c>
      <c r="CE75" s="79">
        <v>0</v>
      </c>
      <c r="CF75" s="79">
        <v>0</v>
      </c>
      <c r="CG75" s="79">
        <v>0</v>
      </c>
      <c r="CH75" s="79">
        <v>0</v>
      </c>
      <c r="CI75" s="79">
        <v>0</v>
      </c>
      <c r="CJ75" s="79">
        <v>0</v>
      </c>
      <c r="CK75" s="79">
        <v>0</v>
      </c>
      <c r="CL75" s="79">
        <v>0</v>
      </c>
      <c r="CM75" s="79">
        <v>54082.8</v>
      </c>
      <c r="CN75" s="79">
        <v>0</v>
      </c>
      <c r="CO75" s="79">
        <v>0</v>
      </c>
      <c r="CP75" s="79">
        <v>0</v>
      </c>
      <c r="CQ75" s="79">
        <v>3326.3440860215051</v>
      </c>
      <c r="CR75" s="79">
        <v>35280</v>
      </c>
      <c r="CS75" s="79">
        <v>13371.44884910486</v>
      </c>
      <c r="CT75" s="79"/>
      <c r="CU75" s="79">
        <v>0</v>
      </c>
      <c r="CV75" s="79"/>
      <c r="CW75" s="79">
        <v>0</v>
      </c>
      <c r="CX75" s="79">
        <v>0</v>
      </c>
      <c r="CY75" s="79">
        <v>0</v>
      </c>
      <c r="CZ75" s="79">
        <v>0</v>
      </c>
      <c r="DA75" s="79">
        <v>22700</v>
      </c>
      <c r="DB75" s="79">
        <v>59291.170114477893</v>
      </c>
      <c r="DC75" s="82">
        <v>0</v>
      </c>
      <c r="DD75" s="79">
        <v>0</v>
      </c>
      <c r="DE75" s="79"/>
      <c r="DF75" s="79">
        <v>10000</v>
      </c>
      <c r="DG75" s="79">
        <v>0</v>
      </c>
      <c r="DH75" s="83">
        <v>0</v>
      </c>
      <c r="DI75" s="79">
        <v>17589.229632685729</v>
      </c>
      <c r="DJ75" s="79">
        <v>3992755.1266196598</v>
      </c>
      <c r="DK75" s="84">
        <v>59457.87338034017</v>
      </c>
      <c r="DL75" s="84">
        <v>0</v>
      </c>
      <c r="DM75" s="84">
        <f t="shared" si="54"/>
        <v>4052213</v>
      </c>
      <c r="DN75" s="84">
        <f>'[7]FY20 Initial Budget Alloca FTE'!F75*DN$1</f>
        <v>365209.29623655917</v>
      </c>
      <c r="DO75" s="81">
        <f t="shared" si="40"/>
        <v>41528.9</v>
      </c>
      <c r="DP75" s="81">
        <f t="shared" si="55"/>
        <v>48606.344086021505</v>
      </c>
      <c r="DQ75" s="74">
        <f t="shared" si="56"/>
        <v>275074.05215053761</v>
      </c>
      <c r="DR75" s="85">
        <f t="shared" si="37"/>
        <v>0.75319564694859864</v>
      </c>
      <c r="DS75" s="81">
        <f t="shared" si="57"/>
        <v>2348050.949061892</v>
      </c>
      <c r="DT75" s="81">
        <f t="shared" si="41"/>
        <v>1010524.7151232649</v>
      </c>
      <c r="DU75" s="81">
        <f t="shared" si="42"/>
        <v>109114.27619794433</v>
      </c>
      <c r="DV75" s="81">
        <f t="shared" si="34"/>
        <v>105773.09000000001</v>
      </c>
      <c r="DW75" s="81">
        <f t="shared" si="43"/>
        <v>0</v>
      </c>
      <c r="DX75" s="81">
        <f t="shared" si="44"/>
        <v>0</v>
      </c>
      <c r="DY75" s="81">
        <f t="shared" si="45"/>
        <v>0</v>
      </c>
      <c r="DZ75" s="81">
        <f t="shared" si="46"/>
        <v>54082.8</v>
      </c>
      <c r="EA75" s="74">
        <f t="shared" si="47"/>
        <v>275074.05215053761</v>
      </c>
      <c r="EB75" s="81">
        <f t="shared" si="48"/>
        <v>41528.9</v>
      </c>
      <c r="EC75" s="81">
        <f t="shared" si="48"/>
        <v>48606.344086021505</v>
      </c>
      <c r="ED75" s="86">
        <f t="shared" si="58"/>
        <v>0.75319564694859864</v>
      </c>
      <c r="EE75" s="81">
        <f t="shared" si="59"/>
        <v>365209.29623655917</v>
      </c>
      <c r="EF75" s="81">
        <f t="shared" si="60"/>
        <v>3992755.1266196603</v>
      </c>
      <c r="EG75" s="81">
        <f t="shared" si="49"/>
        <v>0</v>
      </c>
      <c r="EH75" s="81">
        <v>3672017.4337908775</v>
      </c>
      <c r="EI75" s="84">
        <f t="shared" ref="EI75:EI119" si="63">DJ75-CM75</f>
        <v>3938672.32661966</v>
      </c>
      <c r="EJ75" s="74">
        <f t="shared" si="50"/>
        <v>320737.69282878237</v>
      </c>
      <c r="EK75" s="74">
        <f t="shared" si="51"/>
        <v>266654.89282878255</v>
      </c>
      <c r="EM75" s="88">
        <f t="shared" si="52"/>
        <v>227</v>
      </c>
      <c r="EN75" s="74">
        <v>215</v>
      </c>
      <c r="EO75" s="74">
        <f t="shared" si="53"/>
        <v>12</v>
      </c>
      <c r="EP75" s="72">
        <v>224</v>
      </c>
      <c r="EQ75" s="74">
        <f t="shared" si="61"/>
        <v>9</v>
      </c>
      <c r="ER75" s="72">
        <v>195</v>
      </c>
      <c r="ES75" s="74">
        <f t="shared" si="62"/>
        <v>32</v>
      </c>
      <c r="ET75" s="74"/>
      <c r="EU75" s="74"/>
      <c r="EV75" s="74"/>
      <c r="EW75" s="89"/>
      <c r="EX75" s="81">
        <f t="shared" si="38"/>
        <v>3688930.2735700556</v>
      </c>
      <c r="EY75" s="81">
        <f t="shared" si="39"/>
        <v>303824.85304960428</v>
      </c>
    </row>
    <row r="76" spans="1:155" x14ac:dyDescent="0.25">
      <c r="A76" s="76">
        <v>291</v>
      </c>
      <c r="B76" s="76" t="s">
        <v>215</v>
      </c>
      <c r="C76" s="77" t="s">
        <v>135</v>
      </c>
      <c r="D76" s="41">
        <v>8</v>
      </c>
      <c r="E76" s="78">
        <v>440</v>
      </c>
      <c r="F76" s="78">
        <v>350.98337292161517</v>
      </c>
      <c r="G76" s="79">
        <v>173177.12015668923</v>
      </c>
      <c r="H76" s="79">
        <v>109114.27619794433</v>
      </c>
      <c r="I76" s="79">
        <v>154434.74217235818</v>
      </c>
      <c r="J76" s="79">
        <v>0</v>
      </c>
      <c r="K76" s="79">
        <v>0</v>
      </c>
      <c r="L76" s="79">
        <v>81577.320156689224</v>
      </c>
      <c r="M76" s="79">
        <v>59319.676384927567</v>
      </c>
      <c r="N76" s="79">
        <v>49098.859023420329</v>
      </c>
      <c r="O76" s="79">
        <v>0</v>
      </c>
      <c r="P76" s="79">
        <v>0</v>
      </c>
      <c r="Q76" s="79"/>
      <c r="R76" s="79">
        <v>69375.836746740591</v>
      </c>
      <c r="S76" s="79">
        <v>54629.386746740587</v>
      </c>
      <c r="T76" s="79">
        <v>97917.473493481171</v>
      </c>
      <c r="U76" s="79">
        <v>109114.27619794433</v>
      </c>
      <c r="V76" s="79">
        <v>109114.27619794433</v>
      </c>
      <c r="W76" s="79">
        <v>109114.27619794433</v>
      </c>
      <c r="X76" s="79">
        <v>109114.27619794433</v>
      </c>
      <c r="Y76" s="79">
        <v>163671.41429691651</v>
      </c>
      <c r="Z76" s="79"/>
      <c r="AA76" s="79">
        <v>327342.82859383302</v>
      </c>
      <c r="AB76" s="79">
        <v>103207.87915478271</v>
      </c>
      <c r="AC76" s="79">
        <v>0</v>
      </c>
      <c r="AD76" s="79">
        <v>0</v>
      </c>
      <c r="AE76" s="79">
        <v>327342.82859383302</v>
      </c>
      <c r="AF76" s="79">
        <v>103207.87915478271</v>
      </c>
      <c r="AG76" s="79">
        <v>327342.82859383302</v>
      </c>
      <c r="AH76" s="79">
        <v>103207.87915478271</v>
      </c>
      <c r="AI76" s="79">
        <v>327342.82859383302</v>
      </c>
      <c r="AJ76" s="79">
        <v>327342.82859383302</v>
      </c>
      <c r="AK76" s="79">
        <v>327342.82859383302</v>
      </c>
      <c r="AL76" s="79">
        <v>327342.82859383302</v>
      </c>
      <c r="AM76" s="79">
        <v>218228.55239588866</v>
      </c>
      <c r="AN76" s="79">
        <v>0</v>
      </c>
      <c r="AO76" s="79">
        <v>0</v>
      </c>
      <c r="AP76" s="79">
        <v>0</v>
      </c>
      <c r="AQ76" s="79">
        <v>0</v>
      </c>
      <c r="AR76" s="79">
        <v>0</v>
      </c>
      <c r="AS76" s="79">
        <v>0</v>
      </c>
      <c r="AT76" s="79">
        <v>0</v>
      </c>
      <c r="AU76" s="79">
        <v>0</v>
      </c>
      <c r="AV76" s="79"/>
      <c r="AW76" s="79">
        <v>0</v>
      </c>
      <c r="AX76" s="79">
        <v>109114.27619794433</v>
      </c>
      <c r="AY76" s="79">
        <v>109114.27619794433</v>
      </c>
      <c r="AZ76" s="79">
        <v>545571.38098972163</v>
      </c>
      <c r="BA76" s="79">
        <v>34402.626384927571</v>
      </c>
      <c r="BB76" s="79">
        <v>48063.47638492757</v>
      </c>
      <c r="BC76" s="79">
        <v>0</v>
      </c>
      <c r="BD76" s="79">
        <v>9919.4796543585762</v>
      </c>
      <c r="BE76" s="79">
        <v>0</v>
      </c>
      <c r="BF76" s="79">
        <v>0</v>
      </c>
      <c r="BG76" s="79">
        <v>0</v>
      </c>
      <c r="BH76" s="79">
        <v>0</v>
      </c>
      <c r="BI76" s="79">
        <v>0</v>
      </c>
      <c r="BJ76" s="79"/>
      <c r="BK76" s="79">
        <v>0</v>
      </c>
      <c r="BL76" s="79">
        <v>23194.2</v>
      </c>
      <c r="BM76" s="79">
        <v>192057.21</v>
      </c>
      <c r="BN76" s="79">
        <v>3056.13</v>
      </c>
      <c r="BO76" s="79">
        <v>0</v>
      </c>
      <c r="BP76" s="79">
        <v>0</v>
      </c>
      <c r="BQ76" s="79">
        <v>0</v>
      </c>
      <c r="BR76" s="79">
        <v>0</v>
      </c>
      <c r="BS76" s="79">
        <v>0</v>
      </c>
      <c r="BT76" s="79">
        <v>0</v>
      </c>
      <c r="BU76" s="79">
        <v>0</v>
      </c>
      <c r="BV76" s="80">
        <v>0</v>
      </c>
      <c r="BW76" s="80">
        <v>0</v>
      </c>
      <c r="BX76" s="80">
        <v>0</v>
      </c>
      <c r="BY76" s="80">
        <v>0</v>
      </c>
      <c r="BZ76" s="80">
        <v>0</v>
      </c>
      <c r="CA76" s="80">
        <v>0</v>
      </c>
      <c r="CB76" s="80">
        <v>0</v>
      </c>
      <c r="CC76" s="80">
        <v>0</v>
      </c>
      <c r="CD76" s="79">
        <v>0</v>
      </c>
      <c r="CE76" s="79">
        <v>0</v>
      </c>
      <c r="CF76" s="79">
        <v>0</v>
      </c>
      <c r="CG76" s="79">
        <v>0</v>
      </c>
      <c r="CH76" s="79">
        <v>0</v>
      </c>
      <c r="CI76" s="79">
        <v>0</v>
      </c>
      <c r="CJ76" s="79">
        <v>0</v>
      </c>
      <c r="CK76" s="79">
        <v>0</v>
      </c>
      <c r="CL76" s="79">
        <v>0</v>
      </c>
      <c r="CM76" s="79">
        <v>108165.6</v>
      </c>
      <c r="CN76" s="79">
        <v>0</v>
      </c>
      <c r="CO76" s="79">
        <v>0</v>
      </c>
      <c r="CP76" s="79">
        <v>0</v>
      </c>
      <c r="CQ76" s="79">
        <v>14039.334916864607</v>
      </c>
      <c r="CR76" s="79">
        <v>166040</v>
      </c>
      <c r="CS76" s="79">
        <v>24890.5</v>
      </c>
      <c r="CT76" s="79"/>
      <c r="CU76" s="79">
        <v>0</v>
      </c>
      <c r="CV76" s="79"/>
      <c r="CW76" s="79">
        <v>0</v>
      </c>
      <c r="CX76" s="79">
        <v>0</v>
      </c>
      <c r="CY76" s="79">
        <v>0</v>
      </c>
      <c r="CZ76" s="79">
        <v>0</v>
      </c>
      <c r="DA76" s="79">
        <v>44000</v>
      </c>
      <c r="DB76" s="79">
        <v>85173.036527512682</v>
      </c>
      <c r="DC76" s="82">
        <v>0</v>
      </c>
      <c r="DD76" s="79">
        <v>0</v>
      </c>
      <c r="DE76" s="79"/>
      <c r="DF76" s="79">
        <v>27300</v>
      </c>
      <c r="DG76" s="79">
        <v>0</v>
      </c>
      <c r="DH76" s="83">
        <v>0</v>
      </c>
      <c r="DI76" s="79">
        <v>13156.664835088532</v>
      </c>
      <c r="DJ76" s="79">
        <v>5788932.5274389545</v>
      </c>
      <c r="DK76" s="84">
        <v>64724.47256104555</v>
      </c>
      <c r="DL76" s="84">
        <v>0</v>
      </c>
      <c r="DM76" s="84">
        <f t="shared" si="54"/>
        <v>5853657</v>
      </c>
      <c r="DN76" s="84">
        <f>'[7]FY20 Initial Budget Alloca FTE'!F76*DN$1</f>
        <v>770710.34926365793</v>
      </c>
      <c r="DO76" s="81">
        <f t="shared" si="40"/>
        <v>0</v>
      </c>
      <c r="DP76" s="81">
        <f t="shared" si="55"/>
        <v>207379.33491686461</v>
      </c>
      <c r="DQ76" s="74">
        <f t="shared" si="56"/>
        <v>563331.01434679329</v>
      </c>
      <c r="DR76" s="85">
        <f t="shared" si="37"/>
        <v>0.73092441912192263</v>
      </c>
      <c r="DS76" s="81">
        <f t="shared" si="57"/>
        <v>3858757.7223654715</v>
      </c>
      <c r="DT76" s="81">
        <f t="shared" si="41"/>
        <v>846266.03615546541</v>
      </c>
      <c r="DU76" s="81">
        <f t="shared" si="42"/>
        <v>9919.4796543585762</v>
      </c>
      <c r="DV76" s="81">
        <f t="shared" si="34"/>
        <v>218307.54</v>
      </c>
      <c r="DW76" s="81">
        <f t="shared" si="43"/>
        <v>0</v>
      </c>
      <c r="DX76" s="81">
        <f t="shared" si="44"/>
        <v>0</v>
      </c>
      <c r="DY76" s="81">
        <f t="shared" si="45"/>
        <v>0</v>
      </c>
      <c r="DZ76" s="81">
        <f t="shared" si="46"/>
        <v>108165.6</v>
      </c>
      <c r="EA76" s="74">
        <f t="shared" si="47"/>
        <v>563331.01434679329</v>
      </c>
      <c r="EB76" s="81">
        <f t="shared" si="48"/>
        <v>0</v>
      </c>
      <c r="EC76" s="81">
        <f t="shared" si="48"/>
        <v>207379.33491686461</v>
      </c>
      <c r="ED76" s="86">
        <f t="shared" si="58"/>
        <v>0.73092441912192263</v>
      </c>
      <c r="EE76" s="81">
        <f t="shared" si="59"/>
        <v>770710.34926365793</v>
      </c>
      <c r="EF76" s="81">
        <f t="shared" si="60"/>
        <v>5812126.7274389528</v>
      </c>
      <c r="EG76" s="81">
        <f t="shared" si="49"/>
        <v>-23194.199999998324</v>
      </c>
      <c r="EH76" s="81">
        <v>5335274.0899034953</v>
      </c>
      <c r="EI76" s="84">
        <f t="shared" si="63"/>
        <v>5680766.9274389548</v>
      </c>
      <c r="EJ76" s="74">
        <f t="shared" si="50"/>
        <v>453658.43753545918</v>
      </c>
      <c r="EK76" s="74">
        <f t="shared" si="51"/>
        <v>345492.83753545955</v>
      </c>
      <c r="EL76" s="100"/>
      <c r="EM76" s="88">
        <f t="shared" si="52"/>
        <v>440</v>
      </c>
      <c r="EN76" s="74">
        <v>411</v>
      </c>
      <c r="EO76" s="74">
        <f t="shared" si="53"/>
        <v>29</v>
      </c>
      <c r="EP76" s="72">
        <v>430</v>
      </c>
      <c r="EQ76" s="74">
        <f t="shared" si="61"/>
        <v>19</v>
      </c>
      <c r="ER76" s="72">
        <v>416</v>
      </c>
      <c r="ES76" s="74">
        <f t="shared" si="62"/>
        <v>24</v>
      </c>
      <c r="ET76" s="74"/>
      <c r="EU76" s="74"/>
      <c r="EV76" s="74"/>
      <c r="EW76" s="89"/>
      <c r="EX76" s="81">
        <f t="shared" si="38"/>
        <v>5124210.7159945779</v>
      </c>
      <c r="EY76" s="81">
        <f t="shared" si="39"/>
        <v>687916.01144437736</v>
      </c>
    </row>
    <row r="77" spans="1:155" x14ac:dyDescent="0.25">
      <c r="A77" s="76">
        <v>292</v>
      </c>
      <c r="B77" s="76" t="s">
        <v>216</v>
      </c>
      <c r="C77" s="77" t="s">
        <v>150</v>
      </c>
      <c r="D77" s="41">
        <v>3</v>
      </c>
      <c r="E77" s="78">
        <v>712</v>
      </c>
      <c r="F77" s="78">
        <v>83.119170104755597</v>
      </c>
      <c r="G77" s="79">
        <v>173177.12015668923</v>
      </c>
      <c r="H77" s="79">
        <v>218228.55239588866</v>
      </c>
      <c r="I77" s="79">
        <v>280790.44031337847</v>
      </c>
      <c r="J77" s="79">
        <v>109114.27619794433</v>
      </c>
      <c r="K77" s="79">
        <v>0</v>
      </c>
      <c r="L77" s="79">
        <v>81577.320156689224</v>
      </c>
      <c r="M77" s="79">
        <v>59319.676384927567</v>
      </c>
      <c r="N77" s="79">
        <v>80343.587492869628</v>
      </c>
      <c r="O77" s="79">
        <v>0</v>
      </c>
      <c r="P77" s="79">
        <v>0</v>
      </c>
      <c r="Q77" s="79"/>
      <c r="R77" s="79">
        <v>69375.836746740591</v>
      </c>
      <c r="S77" s="79">
        <v>54629.386746740587</v>
      </c>
      <c r="T77" s="79">
        <v>195834.94698696234</v>
      </c>
      <c r="U77" s="79">
        <v>218228.55239588866</v>
      </c>
      <c r="V77" s="79">
        <v>109114.27619794433</v>
      </c>
      <c r="W77" s="79">
        <v>109114.27619794433</v>
      </c>
      <c r="X77" s="79">
        <v>109114.27619794433</v>
      </c>
      <c r="Y77" s="79">
        <f>381899.966692805-Z77</f>
        <v>272785.69049486064</v>
      </c>
      <c r="Z77" s="79">
        <f>1*Z$121</f>
        <v>109114.27619794433</v>
      </c>
      <c r="AA77" s="79">
        <v>0</v>
      </c>
      <c r="AB77" s="79">
        <v>0</v>
      </c>
      <c r="AC77" s="79">
        <v>0</v>
      </c>
      <c r="AD77" s="79">
        <v>0</v>
      </c>
      <c r="AE77" s="79">
        <v>218228.55239588866</v>
      </c>
      <c r="AF77" s="79">
        <v>68805.252769855142</v>
      </c>
      <c r="AG77" s="79">
        <v>327342.82859383302</v>
      </c>
      <c r="AH77" s="79">
        <v>103207.87915478271</v>
      </c>
      <c r="AI77" s="79">
        <v>436457.10479177732</v>
      </c>
      <c r="AJ77" s="79">
        <v>436457.10479177732</v>
      </c>
      <c r="AK77" s="79">
        <v>327342.82859383302</v>
      </c>
      <c r="AL77" s="79">
        <v>436457.10479177732</v>
      </c>
      <c r="AM77" s="79">
        <v>327342.82859383302</v>
      </c>
      <c r="AN77" s="79">
        <v>414634.24955218844</v>
      </c>
      <c r="AO77" s="79">
        <v>425545.67717198288</v>
      </c>
      <c r="AP77" s="79">
        <v>414634.24955218844</v>
      </c>
      <c r="AQ77" s="79">
        <v>0</v>
      </c>
      <c r="AR77" s="79">
        <v>0</v>
      </c>
      <c r="AS77" s="79">
        <v>0</v>
      </c>
      <c r="AT77" s="79">
        <v>0</v>
      </c>
      <c r="AU77" s="79">
        <v>0</v>
      </c>
      <c r="AV77" s="79"/>
      <c r="AW77" s="79">
        <v>0</v>
      </c>
      <c r="AX77" s="79">
        <v>109114.27619794433</v>
      </c>
      <c r="AY77" s="79">
        <v>218228.55239588866</v>
      </c>
      <c r="AZ77" s="79">
        <v>872914.20958355465</v>
      </c>
      <c r="BA77" s="79">
        <v>34402.626384927571</v>
      </c>
      <c r="BB77" s="79">
        <v>0</v>
      </c>
      <c r="BC77" s="79">
        <v>0</v>
      </c>
      <c r="BD77" s="79">
        <v>872914.20958355465</v>
      </c>
      <c r="BE77" s="79">
        <v>0</v>
      </c>
      <c r="BF77" s="79">
        <v>109114.27619794433</v>
      </c>
      <c r="BG77" s="79">
        <v>0</v>
      </c>
      <c r="BH77" s="79">
        <v>0</v>
      </c>
      <c r="BI77" s="79">
        <v>0</v>
      </c>
      <c r="BJ77" s="79"/>
      <c r="BK77" s="79">
        <v>0</v>
      </c>
      <c r="BL77" s="79"/>
      <c r="BM77" s="79">
        <v>0</v>
      </c>
      <c r="BN77" s="79">
        <v>0</v>
      </c>
      <c r="BO77" s="79">
        <v>16925</v>
      </c>
      <c r="BP77" s="79">
        <v>0</v>
      </c>
      <c r="BQ77" s="79">
        <v>0</v>
      </c>
      <c r="BR77" s="79">
        <v>0</v>
      </c>
      <c r="BS77" s="79">
        <v>0</v>
      </c>
      <c r="BT77" s="79">
        <v>0</v>
      </c>
      <c r="BU77" s="79">
        <v>0</v>
      </c>
      <c r="BV77" s="80">
        <v>0</v>
      </c>
      <c r="BW77" s="80">
        <v>0</v>
      </c>
      <c r="BX77" s="80">
        <v>0</v>
      </c>
      <c r="BY77" s="80">
        <v>0</v>
      </c>
      <c r="BZ77" s="80">
        <v>0</v>
      </c>
      <c r="CA77" s="80">
        <v>0</v>
      </c>
      <c r="CB77" s="80">
        <v>0</v>
      </c>
      <c r="CC77" s="80">
        <v>0</v>
      </c>
      <c r="CD77" s="79">
        <v>0</v>
      </c>
      <c r="CE77" s="79">
        <v>0</v>
      </c>
      <c r="CF77" s="79">
        <v>0</v>
      </c>
      <c r="CG77" s="79">
        <v>0</v>
      </c>
      <c r="CH77" s="79">
        <v>0</v>
      </c>
      <c r="CI77" s="79">
        <v>218228.55239588866</v>
      </c>
      <c r="CJ77" s="79">
        <v>0</v>
      </c>
      <c r="CK77" s="79">
        <v>23000</v>
      </c>
      <c r="CL77" s="79">
        <v>5000</v>
      </c>
      <c r="CM77" s="79">
        <v>189289.8</v>
      </c>
      <c r="CN77" s="79">
        <v>100000</v>
      </c>
      <c r="CO77" s="79">
        <v>0</v>
      </c>
      <c r="CP77" s="79">
        <v>0</v>
      </c>
      <c r="CQ77" s="79">
        <v>0</v>
      </c>
      <c r="CR77" s="79">
        <v>0</v>
      </c>
      <c r="CS77" s="79">
        <v>41543.594065281897</v>
      </c>
      <c r="CT77" s="79"/>
      <c r="CU77" s="79">
        <v>0</v>
      </c>
      <c r="CV77" s="79"/>
      <c r="CW77" s="79">
        <v>0</v>
      </c>
      <c r="CX77" s="79">
        <v>0</v>
      </c>
      <c r="CY77" s="79">
        <v>0</v>
      </c>
      <c r="CZ77" s="79">
        <v>0</v>
      </c>
      <c r="DA77" s="79">
        <v>71200</v>
      </c>
      <c r="DB77" s="79">
        <v>140411.88116155192</v>
      </c>
      <c r="DC77" s="82">
        <v>0</v>
      </c>
      <c r="DD77" s="79">
        <v>500000</v>
      </c>
      <c r="DE77" s="79"/>
      <c r="DF77" s="79">
        <v>7200</v>
      </c>
      <c r="DG77" s="79">
        <v>0</v>
      </c>
      <c r="DH77" s="83">
        <v>0</v>
      </c>
      <c r="DI77" s="79">
        <v>13645.793721884285</v>
      </c>
      <c r="DJ77" s="79">
        <v>9715805.1299816146</v>
      </c>
      <c r="DK77" s="84">
        <v>26086.870018385351</v>
      </c>
      <c r="DL77" s="84">
        <v>0</v>
      </c>
      <c r="DM77" s="84">
        <f t="shared" si="54"/>
        <v>9741892</v>
      </c>
      <c r="DN77" s="84">
        <f>'[7]FY20 Initial Budget Alloca FTE'!F77*DN$1</f>
        <v>182518.06086622862</v>
      </c>
      <c r="DO77" s="81">
        <f t="shared" si="40"/>
        <v>0</v>
      </c>
      <c r="DP77" s="81">
        <f t="shared" si="55"/>
        <v>116314.27619794433</v>
      </c>
      <c r="DQ77" s="74">
        <f t="shared" si="56"/>
        <v>66203.784668284294</v>
      </c>
      <c r="DR77" s="85">
        <f t="shared" si="37"/>
        <v>0.36272456738846498</v>
      </c>
      <c r="DS77" s="81">
        <f t="shared" si="57"/>
        <v>6610384.1187715679</v>
      </c>
      <c r="DT77" s="81">
        <f t="shared" si="41"/>
        <v>1234659.6645623154</v>
      </c>
      <c r="DU77" s="81">
        <f t="shared" si="42"/>
        <v>982028.48578149895</v>
      </c>
      <c r="DV77" s="81">
        <f t="shared" si="34"/>
        <v>16925</v>
      </c>
      <c r="DW77" s="81">
        <f t="shared" si="43"/>
        <v>500000</v>
      </c>
      <c r="DX77" s="81">
        <f t="shared" si="44"/>
        <v>0</v>
      </c>
      <c r="DY77" s="81">
        <f t="shared" si="45"/>
        <v>0</v>
      </c>
      <c r="DZ77" s="81">
        <f t="shared" si="46"/>
        <v>189289.8</v>
      </c>
      <c r="EA77" s="74">
        <f t="shared" si="47"/>
        <v>66203.784668284294</v>
      </c>
      <c r="EB77" s="81">
        <f t="shared" si="48"/>
        <v>0</v>
      </c>
      <c r="EC77" s="81">
        <f t="shared" si="48"/>
        <v>116314.27619794433</v>
      </c>
      <c r="ED77" s="86">
        <f t="shared" si="58"/>
        <v>0.36272456738846498</v>
      </c>
      <c r="EE77" s="81">
        <f t="shared" si="59"/>
        <v>182518.06086622862</v>
      </c>
      <c r="EF77" s="81">
        <f t="shared" si="60"/>
        <v>9715805.1299816109</v>
      </c>
      <c r="EG77" s="81">
        <f t="shared" si="49"/>
        <v>0</v>
      </c>
      <c r="EH77" s="81">
        <v>9117880.2537681237</v>
      </c>
      <c r="EI77" s="84">
        <f t="shared" si="63"/>
        <v>9526515.3299816139</v>
      </c>
      <c r="EJ77" s="74">
        <f t="shared" si="50"/>
        <v>597924.87621349096</v>
      </c>
      <c r="EK77" s="74">
        <f t="shared" si="51"/>
        <v>408635.07621349022</v>
      </c>
      <c r="EL77" s="72"/>
      <c r="EM77" s="88">
        <f t="shared" si="52"/>
        <v>712</v>
      </c>
      <c r="EN77" s="74">
        <v>696</v>
      </c>
      <c r="EO77" s="74">
        <f t="shared" si="53"/>
        <v>16</v>
      </c>
      <c r="EP77" s="72">
        <v>706</v>
      </c>
      <c r="EQ77" s="74">
        <f t="shared" si="61"/>
        <v>10</v>
      </c>
      <c r="ER77" s="72">
        <v>671</v>
      </c>
      <c r="ES77" s="74">
        <f t="shared" si="62"/>
        <v>41</v>
      </c>
      <c r="ET77" s="74"/>
      <c r="EU77" s="74"/>
      <c r="EV77" s="74"/>
      <c r="EW77" s="89"/>
      <c r="EX77" s="81">
        <f t="shared" si="38"/>
        <v>8621234.8547547776</v>
      </c>
      <c r="EY77" s="81">
        <f t="shared" si="39"/>
        <v>1094570.2752268338</v>
      </c>
    </row>
    <row r="78" spans="1:155" x14ac:dyDescent="0.25">
      <c r="A78" s="76">
        <v>294</v>
      </c>
      <c r="B78" s="76" t="s">
        <v>217</v>
      </c>
      <c r="C78" s="77" t="s">
        <v>135</v>
      </c>
      <c r="D78" s="41">
        <v>8</v>
      </c>
      <c r="E78" s="78">
        <v>384</v>
      </c>
      <c r="F78" s="78">
        <v>343</v>
      </c>
      <c r="G78" s="79">
        <v>173177.12015668923</v>
      </c>
      <c r="H78" s="79">
        <v>109114.27619794433</v>
      </c>
      <c r="I78" s="79">
        <v>140395.22015668923</v>
      </c>
      <c r="J78" s="79">
        <v>0</v>
      </c>
      <c r="K78" s="79">
        <v>0</v>
      </c>
      <c r="L78" s="79">
        <v>81577.320156689224</v>
      </c>
      <c r="M78" s="79">
        <v>59319.676384927567</v>
      </c>
      <c r="N78" s="79">
        <v>0</v>
      </c>
      <c r="O78" s="79">
        <v>0</v>
      </c>
      <c r="P78" s="79">
        <v>0</v>
      </c>
      <c r="Q78" s="79"/>
      <c r="R78" s="79">
        <v>69375.836746740591</v>
      </c>
      <c r="S78" s="79">
        <v>54629.386746740587</v>
      </c>
      <c r="T78" s="79">
        <v>97917.473493481171</v>
      </c>
      <c r="U78" s="79">
        <v>109114.27619794433</v>
      </c>
      <c r="V78" s="79">
        <v>109114.27619794433</v>
      </c>
      <c r="W78" s="79">
        <v>109114.27619794433</v>
      </c>
      <c r="X78" s="79">
        <v>109114.27619794433</v>
      </c>
      <c r="Y78" s="79">
        <f>163671.414296917-Z78</f>
        <v>4.9476511776447296E-10</v>
      </c>
      <c r="Z78" s="79">
        <f>1.5*Z$121</f>
        <v>163671.41429691651</v>
      </c>
      <c r="AA78" s="79">
        <v>218228.55239588866</v>
      </c>
      <c r="AB78" s="79">
        <v>68805.252769855142</v>
      </c>
      <c r="AC78" s="79">
        <v>0</v>
      </c>
      <c r="AD78" s="79">
        <v>0</v>
      </c>
      <c r="AE78" s="79">
        <v>218228.55239588866</v>
      </c>
      <c r="AF78" s="79">
        <v>68805.252769855142</v>
      </c>
      <c r="AG78" s="79">
        <v>327342.82859383302</v>
      </c>
      <c r="AH78" s="79">
        <v>103207.87915478271</v>
      </c>
      <c r="AI78" s="79">
        <v>327342.82859383302</v>
      </c>
      <c r="AJ78" s="79">
        <v>327342.82859383302</v>
      </c>
      <c r="AK78" s="79">
        <v>327342.82859383302</v>
      </c>
      <c r="AL78" s="79">
        <v>218228.55239588866</v>
      </c>
      <c r="AM78" s="79">
        <v>327342.82859383302</v>
      </c>
      <c r="AN78" s="79">
        <v>0</v>
      </c>
      <c r="AO78" s="79">
        <v>0</v>
      </c>
      <c r="AP78" s="79">
        <v>0</v>
      </c>
      <c r="AQ78" s="79">
        <v>0</v>
      </c>
      <c r="AR78" s="79">
        <v>0</v>
      </c>
      <c r="AS78" s="79">
        <v>0</v>
      </c>
      <c r="AT78" s="79">
        <v>0</v>
      </c>
      <c r="AU78" s="79">
        <v>0</v>
      </c>
      <c r="AV78" s="79"/>
      <c r="AW78" s="79">
        <v>0</v>
      </c>
      <c r="AX78" s="79">
        <v>109114.27619794433</v>
      </c>
      <c r="AY78" s="79">
        <v>109114.27619794433</v>
      </c>
      <c r="AZ78" s="79">
        <v>982028.48578149895</v>
      </c>
      <c r="BA78" s="79">
        <v>309623.63746434811</v>
      </c>
      <c r="BB78" s="79">
        <v>0</v>
      </c>
      <c r="BC78" s="79">
        <v>0</v>
      </c>
      <c r="BD78" s="79">
        <v>0</v>
      </c>
      <c r="BE78" s="79">
        <v>0</v>
      </c>
      <c r="BF78" s="79">
        <v>0</v>
      </c>
      <c r="BG78" s="79">
        <f>47888-BL78</f>
        <v>12348.5</v>
      </c>
      <c r="BH78" s="79">
        <v>44896</v>
      </c>
      <c r="BI78" s="79">
        <v>6734</v>
      </c>
      <c r="BJ78" s="79"/>
      <c r="BK78" s="79">
        <v>0</v>
      </c>
      <c r="BL78" s="79">
        <v>35539.5</v>
      </c>
      <c r="BM78" s="79">
        <v>177795.54</v>
      </c>
      <c r="BN78" s="79">
        <v>2829.19</v>
      </c>
      <c r="BO78" s="79">
        <v>0</v>
      </c>
      <c r="BP78" s="79">
        <v>0</v>
      </c>
      <c r="BQ78" s="79">
        <v>0</v>
      </c>
      <c r="BR78" s="79">
        <v>0</v>
      </c>
      <c r="BS78" s="79">
        <v>0</v>
      </c>
      <c r="BT78" s="79">
        <v>109114.27619794433</v>
      </c>
      <c r="BU78" s="79">
        <v>0</v>
      </c>
      <c r="BV78" s="80">
        <v>0</v>
      </c>
      <c r="BW78" s="80">
        <v>0</v>
      </c>
      <c r="BX78" s="80">
        <v>0</v>
      </c>
      <c r="BY78" s="80">
        <v>0</v>
      </c>
      <c r="BZ78" s="80">
        <v>0</v>
      </c>
      <c r="CA78" s="80">
        <v>109114.27619794433</v>
      </c>
      <c r="CB78" s="80">
        <v>0</v>
      </c>
      <c r="CC78" s="80">
        <v>0</v>
      </c>
      <c r="CD78" s="79">
        <v>0</v>
      </c>
      <c r="CE78" s="79">
        <v>0</v>
      </c>
      <c r="CF78" s="79">
        <v>0</v>
      </c>
      <c r="CG78" s="79">
        <v>0</v>
      </c>
      <c r="CH78" s="79">
        <v>0</v>
      </c>
      <c r="CI78" s="79">
        <v>0</v>
      </c>
      <c r="CJ78" s="79">
        <v>0</v>
      </c>
      <c r="CK78" s="79">
        <v>0</v>
      </c>
      <c r="CL78" s="79">
        <v>0</v>
      </c>
      <c r="CM78" s="79">
        <v>54082.8</v>
      </c>
      <c r="CN78" s="79">
        <v>0</v>
      </c>
      <c r="CO78" s="79">
        <v>0</v>
      </c>
      <c r="CP78" s="79">
        <v>75000</v>
      </c>
      <c r="CQ78" s="79">
        <v>13720</v>
      </c>
      <c r="CR78" s="79">
        <v>0</v>
      </c>
      <c r="CS78" s="79">
        <v>22327.497382198955</v>
      </c>
      <c r="CT78" s="79"/>
      <c r="CU78" s="79">
        <v>0</v>
      </c>
      <c r="CV78" s="79"/>
      <c r="CW78" s="79">
        <v>0</v>
      </c>
      <c r="CX78" s="79">
        <v>0</v>
      </c>
      <c r="CY78" s="79">
        <v>0</v>
      </c>
      <c r="CZ78" s="79">
        <v>0</v>
      </c>
      <c r="DA78" s="79">
        <v>38400</v>
      </c>
      <c r="DB78" s="79">
        <v>87386.512402908644</v>
      </c>
      <c r="DC78" s="82">
        <v>0</v>
      </c>
      <c r="DD78" s="79">
        <v>0</v>
      </c>
      <c r="DE78" s="79"/>
      <c r="DF78" s="79">
        <v>27000</v>
      </c>
      <c r="DG78" s="79">
        <v>0</v>
      </c>
      <c r="DH78" s="83">
        <v>0</v>
      </c>
      <c r="DI78" s="79">
        <v>16260.473390111074</v>
      </c>
      <c r="DJ78" s="79">
        <v>6244021.7818026524</v>
      </c>
      <c r="DK78" s="84">
        <v>-1.8026521429419518E-3</v>
      </c>
      <c r="DL78" s="84">
        <v>0</v>
      </c>
      <c r="DM78" s="84">
        <f t="shared" si="54"/>
        <v>6244021.7800000003</v>
      </c>
      <c r="DN78" s="84">
        <f>'[7]FY20 Initial Budget Alloca FTE'!F78*DN$1</f>
        <v>753179.9800000001</v>
      </c>
      <c r="DO78" s="81">
        <f t="shared" si="40"/>
        <v>63978.5</v>
      </c>
      <c r="DP78" s="81">
        <f t="shared" si="55"/>
        <v>497619.96669280517</v>
      </c>
      <c r="DQ78" s="74">
        <f t="shared" si="56"/>
        <v>191581.51330719492</v>
      </c>
      <c r="DR78" s="85">
        <f t="shared" si="37"/>
        <v>0.25436352318763822</v>
      </c>
      <c r="DS78" s="81">
        <f t="shared" si="57"/>
        <v>3710714.0961609157</v>
      </c>
      <c r="DT78" s="81">
        <f t="shared" si="41"/>
        <v>1509880.6756417356</v>
      </c>
      <c r="DU78" s="81">
        <f t="shared" si="42"/>
        <v>0</v>
      </c>
      <c r="DV78" s="81">
        <f t="shared" si="34"/>
        <v>216164.23</v>
      </c>
      <c r="DW78" s="81">
        <f t="shared" si="43"/>
        <v>0</v>
      </c>
      <c r="DX78" s="81">
        <f t="shared" si="44"/>
        <v>0</v>
      </c>
      <c r="DY78" s="81">
        <f t="shared" si="45"/>
        <v>0</v>
      </c>
      <c r="DZ78" s="81">
        <f t="shared" si="46"/>
        <v>54082.8</v>
      </c>
      <c r="EA78" s="74">
        <f t="shared" si="47"/>
        <v>191581.51330719492</v>
      </c>
      <c r="EB78" s="81">
        <f t="shared" si="48"/>
        <v>63978.5</v>
      </c>
      <c r="EC78" s="81">
        <f t="shared" si="48"/>
        <v>497619.96669280517</v>
      </c>
      <c r="ED78" s="86">
        <f t="shared" si="58"/>
        <v>0.25436352318763822</v>
      </c>
      <c r="EE78" s="81">
        <f t="shared" si="59"/>
        <v>753179.9800000001</v>
      </c>
      <c r="EF78" s="81">
        <f t="shared" si="60"/>
        <v>6244021.7818026515</v>
      </c>
      <c r="EG78" s="81">
        <f t="shared" si="49"/>
        <v>0</v>
      </c>
      <c r="EH78" s="81">
        <v>5890998.9180322159</v>
      </c>
      <c r="EI78" s="84">
        <f t="shared" si="63"/>
        <v>6189938.9818026526</v>
      </c>
      <c r="EJ78" s="74">
        <f t="shared" si="50"/>
        <v>353022.8637704365</v>
      </c>
      <c r="EK78" s="74">
        <f t="shared" si="51"/>
        <v>298940.06377043668</v>
      </c>
      <c r="EL78" s="101"/>
      <c r="EM78" s="88">
        <f t="shared" si="52"/>
        <v>384</v>
      </c>
      <c r="EN78" s="74">
        <v>363</v>
      </c>
      <c r="EO78" s="74">
        <f t="shared" si="53"/>
        <v>21</v>
      </c>
      <c r="EP78" s="72">
        <v>386</v>
      </c>
      <c r="EQ78" s="74">
        <f t="shared" si="61"/>
        <v>23</v>
      </c>
      <c r="ER78" s="72">
        <v>363</v>
      </c>
      <c r="ES78" s="74">
        <f t="shared" si="62"/>
        <v>21</v>
      </c>
      <c r="ET78" s="74"/>
      <c r="EU78" s="74"/>
      <c r="EV78" s="74"/>
      <c r="EW78" s="89"/>
      <c r="EX78" s="81">
        <f t="shared" si="38"/>
        <v>5709940.7420175448</v>
      </c>
      <c r="EY78" s="81">
        <f t="shared" si="39"/>
        <v>534081.0397851076</v>
      </c>
    </row>
    <row r="79" spans="1:155" x14ac:dyDescent="0.25">
      <c r="A79" s="76">
        <v>295</v>
      </c>
      <c r="B79" s="76" t="s">
        <v>218</v>
      </c>
      <c r="C79" s="77" t="s">
        <v>135</v>
      </c>
      <c r="D79" s="41">
        <v>6</v>
      </c>
      <c r="E79" s="78">
        <v>349</v>
      </c>
      <c r="F79" s="78">
        <v>206.57413249211359</v>
      </c>
      <c r="G79" s="79">
        <v>173177.12015668923</v>
      </c>
      <c r="H79" s="79">
        <v>109114.27619794433</v>
      </c>
      <c r="I79" s="79">
        <v>126355.69814102032</v>
      </c>
      <c r="J79" s="79">
        <v>0</v>
      </c>
      <c r="K79" s="79">
        <v>0</v>
      </c>
      <c r="L79" s="79">
        <v>81577.320156689224</v>
      </c>
      <c r="M79" s="79">
        <v>59319.676384927567</v>
      </c>
      <c r="N79" s="79">
        <v>0</v>
      </c>
      <c r="O79" s="79">
        <v>0</v>
      </c>
      <c r="P79" s="79">
        <v>0</v>
      </c>
      <c r="Q79" s="79"/>
      <c r="R79" s="79">
        <v>69375.836746740591</v>
      </c>
      <c r="S79" s="79">
        <v>54629.386746740587</v>
      </c>
      <c r="T79" s="79">
        <v>97917.473493481171</v>
      </c>
      <c r="U79" s="79">
        <v>109114.27619794433</v>
      </c>
      <c r="V79" s="79">
        <v>109114.27619794433</v>
      </c>
      <c r="W79" s="79">
        <v>109114.27619794433</v>
      </c>
      <c r="X79" s="79">
        <v>109114.27619794433</v>
      </c>
      <c r="Y79" s="79">
        <v>0</v>
      </c>
      <c r="Z79" s="79"/>
      <c r="AA79" s="79">
        <v>327342.82859383302</v>
      </c>
      <c r="AB79" s="79">
        <v>103207.87915478271</v>
      </c>
      <c r="AC79" s="79">
        <v>0</v>
      </c>
      <c r="AD79" s="79">
        <v>0</v>
      </c>
      <c r="AE79" s="79">
        <v>218228.55239588866</v>
      </c>
      <c r="AF79" s="79">
        <v>68805.252769855142</v>
      </c>
      <c r="AG79" s="79">
        <v>218228.55239588866</v>
      </c>
      <c r="AH79" s="79">
        <v>68805.252769855142</v>
      </c>
      <c r="AI79" s="79">
        <v>218228.55239588866</v>
      </c>
      <c r="AJ79" s="79">
        <v>218228.55239588866</v>
      </c>
      <c r="AK79" s="79">
        <v>218228.55239588866</v>
      </c>
      <c r="AL79" s="79">
        <v>218228.55239588866</v>
      </c>
      <c r="AM79" s="79">
        <v>218228.55239588866</v>
      </c>
      <c r="AN79" s="79">
        <v>0</v>
      </c>
      <c r="AO79" s="79">
        <v>0</v>
      </c>
      <c r="AP79" s="79">
        <v>0</v>
      </c>
      <c r="AQ79" s="79">
        <v>0</v>
      </c>
      <c r="AR79" s="79">
        <v>0</v>
      </c>
      <c r="AS79" s="79">
        <v>0</v>
      </c>
      <c r="AT79" s="79">
        <v>0</v>
      </c>
      <c r="AU79" s="79">
        <v>0</v>
      </c>
      <c r="AV79" s="79"/>
      <c r="AW79" s="79">
        <v>0</v>
      </c>
      <c r="AX79" s="79">
        <v>109114.27619794433</v>
      </c>
      <c r="AY79" s="79">
        <v>218228.55239588866</v>
      </c>
      <c r="AZ79" s="79">
        <v>763799.93338561035</v>
      </c>
      <c r="BA79" s="79">
        <v>206415.75830956543</v>
      </c>
      <c r="BB79" s="79">
        <v>96126.952769855139</v>
      </c>
      <c r="BC79" s="79">
        <v>0</v>
      </c>
      <c r="BD79" s="79">
        <v>44637.658444613589</v>
      </c>
      <c r="BE79" s="79">
        <v>0</v>
      </c>
      <c r="BF79" s="79">
        <v>0</v>
      </c>
      <c r="BG79" s="79">
        <f>59860-BL79</f>
        <v>18334.900000000001</v>
      </c>
      <c r="BH79" s="79">
        <v>56120</v>
      </c>
      <c r="BI79" s="79">
        <v>6734</v>
      </c>
      <c r="BJ79" s="79"/>
      <c r="BK79" s="79">
        <v>0</v>
      </c>
      <c r="BL79" s="79">
        <v>41525.1</v>
      </c>
      <c r="BM79" s="79">
        <v>149272.19</v>
      </c>
      <c r="BN79" s="79">
        <v>2375.31</v>
      </c>
      <c r="BO79" s="79">
        <v>0</v>
      </c>
      <c r="BP79" s="79">
        <v>0</v>
      </c>
      <c r="BQ79" s="79">
        <v>0</v>
      </c>
      <c r="BR79" s="79">
        <v>0</v>
      </c>
      <c r="BS79" s="79">
        <v>0</v>
      </c>
      <c r="BT79" s="79">
        <v>0</v>
      </c>
      <c r="BU79" s="79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0</v>
      </c>
      <c r="CB79" s="80">
        <v>0</v>
      </c>
      <c r="CC79" s="80">
        <v>0</v>
      </c>
      <c r="CD79" s="79">
        <v>0</v>
      </c>
      <c r="CE79" s="79">
        <v>0</v>
      </c>
      <c r="CF79" s="79">
        <v>0</v>
      </c>
      <c r="CG79" s="79">
        <v>0</v>
      </c>
      <c r="CH79" s="79">
        <v>0</v>
      </c>
      <c r="CI79" s="79">
        <v>0</v>
      </c>
      <c r="CJ79" s="79">
        <v>0</v>
      </c>
      <c r="CK79" s="79">
        <v>0</v>
      </c>
      <c r="CL79" s="79">
        <v>0</v>
      </c>
      <c r="CM79" s="79">
        <v>54082.8</v>
      </c>
      <c r="CN79" s="79">
        <v>0</v>
      </c>
      <c r="CO79" s="79">
        <v>0</v>
      </c>
      <c r="CP79" s="79">
        <v>0</v>
      </c>
      <c r="CQ79" s="79">
        <v>4131.4826498422717</v>
      </c>
      <c r="CR79" s="79">
        <v>0</v>
      </c>
      <c r="CS79" s="79">
        <v>21141.540229885057</v>
      </c>
      <c r="CT79" s="79"/>
      <c r="CU79" s="79">
        <v>0</v>
      </c>
      <c r="CV79" s="79"/>
      <c r="CW79" s="79">
        <v>0</v>
      </c>
      <c r="CX79" s="79">
        <v>0</v>
      </c>
      <c r="CY79" s="79">
        <v>0</v>
      </c>
      <c r="CZ79" s="79">
        <v>0</v>
      </c>
      <c r="DA79" s="79">
        <v>34900</v>
      </c>
      <c r="DB79" s="79">
        <v>76346.330480502438</v>
      </c>
      <c r="DC79" s="82">
        <v>0</v>
      </c>
      <c r="DD79" s="79">
        <v>0</v>
      </c>
      <c r="DE79" s="79"/>
      <c r="DF79" s="79">
        <v>18600</v>
      </c>
      <c r="DG79" s="79">
        <v>0</v>
      </c>
      <c r="DH79" s="83">
        <v>0</v>
      </c>
      <c r="DI79" s="79">
        <v>14972.984979195595</v>
      </c>
      <c r="DJ79" s="79">
        <v>5225571.7577392627</v>
      </c>
      <c r="DK79" s="84">
        <v>-25571.757739262655</v>
      </c>
      <c r="DL79" s="84">
        <v>18161.240000000002</v>
      </c>
      <c r="DM79" s="84">
        <f t="shared" si="54"/>
        <v>5218161.24</v>
      </c>
      <c r="DN79" s="84">
        <f>'[7]FY20 Initial Budget Alloca FTE'!F79*DN$1</f>
        <v>453607.87457413255</v>
      </c>
      <c r="DO79" s="81">
        <f t="shared" si="40"/>
        <v>81188.899999999994</v>
      </c>
      <c r="DP79" s="81">
        <f t="shared" si="55"/>
        <v>22731.48264984227</v>
      </c>
      <c r="DQ79" s="74">
        <f t="shared" si="56"/>
        <v>349687.49192429031</v>
      </c>
      <c r="DR79" s="85">
        <f t="shared" si="37"/>
        <v>0.7709026044854107</v>
      </c>
      <c r="DS79" s="81">
        <f t="shared" si="57"/>
        <v>3086385.3516616542</v>
      </c>
      <c r="DT79" s="81">
        <f t="shared" si="41"/>
        <v>1393685.473058864</v>
      </c>
      <c r="DU79" s="81">
        <f t="shared" si="42"/>
        <v>44637.658444613589</v>
      </c>
      <c r="DV79" s="81">
        <f t="shared" si="34"/>
        <v>193172.6</v>
      </c>
      <c r="DW79" s="81">
        <f t="shared" si="43"/>
        <v>0</v>
      </c>
      <c r="DX79" s="81">
        <f t="shared" si="44"/>
        <v>0</v>
      </c>
      <c r="DY79" s="81">
        <f t="shared" si="45"/>
        <v>0</v>
      </c>
      <c r="DZ79" s="81">
        <f t="shared" si="46"/>
        <v>54082.8</v>
      </c>
      <c r="EA79" s="74">
        <f t="shared" si="47"/>
        <v>349687.49192429031</v>
      </c>
      <c r="EB79" s="81">
        <f t="shared" si="48"/>
        <v>81188.899999999994</v>
      </c>
      <c r="EC79" s="81">
        <f t="shared" si="48"/>
        <v>22731.48264984227</v>
      </c>
      <c r="ED79" s="86">
        <f t="shared" si="58"/>
        <v>0.77090260448541059</v>
      </c>
      <c r="EE79" s="81">
        <f t="shared" si="59"/>
        <v>453607.87457413261</v>
      </c>
      <c r="EF79" s="81">
        <f t="shared" si="60"/>
        <v>5225571.7577392645</v>
      </c>
      <c r="EG79" s="81">
        <f t="shared" si="49"/>
        <v>0</v>
      </c>
      <c r="EH79" s="81">
        <v>5219224.4346235935</v>
      </c>
      <c r="EI79" s="84">
        <f t="shared" si="63"/>
        <v>5171488.9577392628</v>
      </c>
      <c r="EJ79" s="74">
        <f t="shared" si="50"/>
        <v>6347.3231156691909</v>
      </c>
      <c r="EK79" s="74">
        <f t="shared" si="51"/>
        <v>-47735.476884330623</v>
      </c>
      <c r="EM79" s="88">
        <f t="shared" si="52"/>
        <v>349</v>
      </c>
      <c r="EN79" s="74">
        <v>320</v>
      </c>
      <c r="EO79" s="74">
        <f t="shared" si="53"/>
        <v>29</v>
      </c>
      <c r="EP79" s="72">
        <v>346</v>
      </c>
      <c r="EQ79" s="74">
        <f t="shared" si="61"/>
        <v>26</v>
      </c>
      <c r="ER79" s="72">
        <v>339</v>
      </c>
      <c r="ES79" s="74">
        <f t="shared" si="62"/>
        <v>10</v>
      </c>
      <c r="ET79" s="74"/>
      <c r="EU79" s="74"/>
      <c r="EV79" s="74"/>
      <c r="EW79" s="89"/>
      <c r="EX79" s="81">
        <f t="shared" si="38"/>
        <v>4823197.004379034</v>
      </c>
      <c r="EY79" s="81">
        <f t="shared" si="39"/>
        <v>402374.75336022984</v>
      </c>
    </row>
    <row r="80" spans="1:155" x14ac:dyDescent="0.25">
      <c r="A80" s="76">
        <v>301</v>
      </c>
      <c r="B80" s="76" t="s">
        <v>219</v>
      </c>
      <c r="C80" s="77" t="s">
        <v>135</v>
      </c>
      <c r="D80" s="41">
        <v>6</v>
      </c>
      <c r="E80" s="78">
        <v>222</v>
      </c>
      <c r="F80" s="78">
        <v>30.64</v>
      </c>
      <c r="G80" s="79">
        <v>0</v>
      </c>
      <c r="H80" s="79">
        <v>109114.27619794433</v>
      </c>
      <c r="I80" s="79">
        <v>140395.22015668923</v>
      </c>
      <c r="J80" s="79">
        <v>0</v>
      </c>
      <c r="K80" s="79">
        <v>0</v>
      </c>
      <c r="L80" s="79">
        <v>40788.660078344612</v>
      </c>
      <c r="M80" s="79">
        <v>59319.676384927567</v>
      </c>
      <c r="N80" s="79">
        <v>0</v>
      </c>
      <c r="O80" s="79">
        <v>0</v>
      </c>
      <c r="P80" s="79">
        <v>0</v>
      </c>
      <c r="Q80" s="79"/>
      <c r="R80" s="79">
        <v>69375.836746740591</v>
      </c>
      <c r="S80" s="79">
        <v>54629.386746740587</v>
      </c>
      <c r="T80" s="79">
        <v>48958.736746740586</v>
      </c>
      <c r="U80" s="79">
        <v>54557.138098972166</v>
      </c>
      <c r="V80" s="79">
        <v>109114.27619794433</v>
      </c>
      <c r="W80" s="79">
        <v>109114.27619794433</v>
      </c>
      <c r="X80" s="79">
        <v>109114.27619794433</v>
      </c>
      <c r="Y80" s="79">
        <v>0</v>
      </c>
      <c r="Z80" s="79"/>
      <c r="AA80" s="79">
        <v>436457.10479177732</v>
      </c>
      <c r="AB80" s="79">
        <v>137610.50553971028</v>
      </c>
      <c r="AC80" s="79">
        <v>0</v>
      </c>
      <c r="AD80" s="79">
        <v>0</v>
      </c>
      <c r="AE80" s="79">
        <v>436457.10479177732</v>
      </c>
      <c r="AF80" s="79">
        <v>137610.50553971028</v>
      </c>
      <c r="AG80" s="79">
        <v>436457.10479177732</v>
      </c>
      <c r="AH80" s="79">
        <v>137610.50553971028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0</v>
      </c>
      <c r="AQ80" s="79">
        <v>0</v>
      </c>
      <c r="AR80" s="79">
        <v>0</v>
      </c>
      <c r="AS80" s="79">
        <v>0</v>
      </c>
      <c r="AT80" s="79">
        <v>0</v>
      </c>
      <c r="AU80" s="79">
        <v>0</v>
      </c>
      <c r="AV80" s="79"/>
      <c r="AW80" s="79">
        <v>0</v>
      </c>
      <c r="AX80" s="79">
        <v>54557.138098972166</v>
      </c>
      <c r="AY80" s="79">
        <v>54557.138098972166</v>
      </c>
      <c r="AZ80" s="79">
        <v>109114.27619794433</v>
      </c>
      <c r="BA80" s="79">
        <v>0</v>
      </c>
      <c r="BB80" s="79">
        <v>0</v>
      </c>
      <c r="BC80" s="79">
        <v>0</v>
      </c>
      <c r="BD80" s="79">
        <v>0</v>
      </c>
      <c r="BE80" s="79">
        <v>0</v>
      </c>
      <c r="BF80" s="79">
        <v>0</v>
      </c>
      <c r="BG80" s="79">
        <v>0</v>
      </c>
      <c r="BH80" s="79">
        <v>0</v>
      </c>
      <c r="BI80" s="79">
        <v>0</v>
      </c>
      <c r="BJ80" s="79"/>
      <c r="BK80" s="79">
        <v>0</v>
      </c>
      <c r="BL80" s="79"/>
      <c r="BM80" s="79">
        <v>0</v>
      </c>
      <c r="BN80" s="79">
        <v>0</v>
      </c>
      <c r="BO80" s="79">
        <v>5675</v>
      </c>
      <c r="BP80" s="79">
        <v>0</v>
      </c>
      <c r="BQ80" s="79">
        <v>0</v>
      </c>
      <c r="BR80" s="79">
        <v>0</v>
      </c>
      <c r="BS80" s="79">
        <v>0</v>
      </c>
      <c r="BT80" s="79">
        <v>0</v>
      </c>
      <c r="BU80" s="79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80">
        <v>0</v>
      </c>
      <c r="CC80" s="80">
        <v>0</v>
      </c>
      <c r="CD80" s="79">
        <v>0</v>
      </c>
      <c r="CE80" s="79">
        <v>0</v>
      </c>
      <c r="CF80" s="79">
        <v>0</v>
      </c>
      <c r="CG80" s="79">
        <v>0</v>
      </c>
      <c r="CH80" s="79">
        <v>0</v>
      </c>
      <c r="CI80" s="79">
        <v>0</v>
      </c>
      <c r="CJ80" s="79">
        <v>0</v>
      </c>
      <c r="CK80" s="79">
        <v>0</v>
      </c>
      <c r="CL80" s="79">
        <v>0</v>
      </c>
      <c r="CM80" s="79">
        <v>54082.8</v>
      </c>
      <c r="CN80" s="79">
        <v>0</v>
      </c>
      <c r="CO80" s="79">
        <v>0</v>
      </c>
      <c r="CP80" s="79">
        <v>0</v>
      </c>
      <c r="CQ80" s="79">
        <v>0</v>
      </c>
      <c r="CR80" s="79">
        <v>0</v>
      </c>
      <c r="CS80" s="79">
        <v>13509.263157894737</v>
      </c>
      <c r="CT80" s="79"/>
      <c r="CU80" s="79">
        <v>0</v>
      </c>
      <c r="CV80" s="79"/>
      <c r="CW80" s="79">
        <v>0</v>
      </c>
      <c r="CX80" s="79">
        <v>0</v>
      </c>
      <c r="CY80" s="79">
        <v>0</v>
      </c>
      <c r="CZ80" s="79">
        <v>0</v>
      </c>
      <c r="DA80" s="79">
        <v>22200</v>
      </c>
      <c r="DB80" s="79">
        <v>45803.101604574666</v>
      </c>
      <c r="DC80" s="82">
        <v>0</v>
      </c>
      <c r="DD80" s="79">
        <v>0</v>
      </c>
      <c r="DE80" s="79"/>
      <c r="DF80" s="79">
        <v>1000</v>
      </c>
      <c r="DG80" s="79">
        <v>0</v>
      </c>
      <c r="DH80" s="83">
        <v>0</v>
      </c>
      <c r="DI80" s="79">
        <v>13455.780666233122</v>
      </c>
      <c r="DJ80" s="79">
        <v>2987183.3079037536</v>
      </c>
      <c r="DK80" s="84">
        <v>2.096246462315321E-3</v>
      </c>
      <c r="DL80" s="84">
        <v>0</v>
      </c>
      <c r="DM80" s="84">
        <f t="shared" si="54"/>
        <v>2987183.31</v>
      </c>
      <c r="DN80" s="84">
        <f>'[7]FY20 Initial Budget Alloca FTE'!F80*DN$1</f>
        <v>67281.150399999999</v>
      </c>
      <c r="DO80" s="81">
        <f t="shared" si="40"/>
        <v>0</v>
      </c>
      <c r="DP80" s="81">
        <f t="shared" si="55"/>
        <v>1000</v>
      </c>
      <c r="DQ80" s="74">
        <f t="shared" si="56"/>
        <v>66281.150399999999</v>
      </c>
      <c r="DR80" s="85">
        <f t="shared" si="37"/>
        <v>0.98513699611176686</v>
      </c>
      <c r="DS80" s="81">
        <f t="shared" si="57"/>
        <v>2641915.8051078646</v>
      </c>
      <c r="DT80" s="81">
        <f t="shared" si="41"/>
        <v>218228.55239588866</v>
      </c>
      <c r="DU80" s="81">
        <f t="shared" si="42"/>
        <v>0</v>
      </c>
      <c r="DV80" s="81">
        <f t="shared" si="34"/>
        <v>5675</v>
      </c>
      <c r="DW80" s="81">
        <f t="shared" si="43"/>
        <v>0</v>
      </c>
      <c r="DX80" s="81">
        <f t="shared" si="44"/>
        <v>0</v>
      </c>
      <c r="DY80" s="81">
        <f t="shared" si="45"/>
        <v>0</v>
      </c>
      <c r="DZ80" s="81">
        <f t="shared" si="46"/>
        <v>54082.8</v>
      </c>
      <c r="EA80" s="74">
        <f t="shared" si="47"/>
        <v>66281.150399999999</v>
      </c>
      <c r="EB80" s="81">
        <f t="shared" si="48"/>
        <v>0</v>
      </c>
      <c r="EC80" s="81">
        <f t="shared" si="48"/>
        <v>1000</v>
      </c>
      <c r="ED80" s="86">
        <f t="shared" si="58"/>
        <v>0.98513699611176686</v>
      </c>
      <c r="EE80" s="81">
        <f t="shared" si="59"/>
        <v>67281.150399999999</v>
      </c>
      <c r="EF80" s="81">
        <f t="shared" si="60"/>
        <v>2987183.3079037531</v>
      </c>
      <c r="EG80" s="81">
        <f t="shared" si="49"/>
        <v>0</v>
      </c>
      <c r="EH80" s="81">
        <v>2812340.6356626991</v>
      </c>
      <c r="EI80" s="84">
        <f t="shared" si="63"/>
        <v>2933100.5079037538</v>
      </c>
      <c r="EJ80" s="74">
        <f t="shared" si="50"/>
        <v>174842.67224105448</v>
      </c>
      <c r="EK80" s="74">
        <f t="shared" si="51"/>
        <v>120759.87224105466</v>
      </c>
      <c r="EM80" s="88">
        <f t="shared" si="52"/>
        <v>222</v>
      </c>
      <c r="EN80" s="74">
        <v>227</v>
      </c>
      <c r="EO80" s="74">
        <f t="shared" si="53"/>
        <v>-5</v>
      </c>
      <c r="EP80" s="72">
        <v>226</v>
      </c>
      <c r="EQ80" s="74">
        <f t="shared" si="61"/>
        <v>-1</v>
      </c>
      <c r="ER80" s="72">
        <v>240</v>
      </c>
      <c r="ES80" s="74">
        <f t="shared" si="62"/>
        <v>-18</v>
      </c>
      <c r="ET80" s="74"/>
      <c r="EU80" s="74"/>
      <c r="EV80" s="74"/>
      <c r="EW80" s="89"/>
      <c r="EX80" s="81">
        <f t="shared" si="38"/>
        <v>2844913.1431412841</v>
      </c>
      <c r="EY80" s="81">
        <f t="shared" si="39"/>
        <v>142270.16476246942</v>
      </c>
    </row>
    <row r="81" spans="1:155" x14ac:dyDescent="0.25">
      <c r="A81" s="76">
        <v>478</v>
      </c>
      <c r="B81" s="76" t="s">
        <v>220</v>
      </c>
      <c r="C81" s="77" t="s">
        <v>138</v>
      </c>
      <c r="D81" s="41">
        <v>5</v>
      </c>
      <c r="E81" s="78">
        <v>269</v>
      </c>
      <c r="F81" s="78">
        <v>185.9198717948718</v>
      </c>
      <c r="G81" s="79">
        <v>173177.12015668923</v>
      </c>
      <c r="H81" s="79">
        <v>109114.27619794433</v>
      </c>
      <c r="I81" s="79">
        <v>126355.69814102032</v>
      </c>
      <c r="J81" s="79">
        <v>0</v>
      </c>
      <c r="K81" s="79">
        <v>178335.88891943885</v>
      </c>
      <c r="L81" s="79">
        <v>40788.660078344612</v>
      </c>
      <c r="M81" s="79">
        <v>59319.676384927567</v>
      </c>
      <c r="N81" s="79">
        <v>0</v>
      </c>
      <c r="O81" s="79">
        <v>50130.026384927565</v>
      </c>
      <c r="P81" s="79">
        <v>62573.586746740584</v>
      </c>
      <c r="Q81" s="79"/>
      <c r="R81" s="79">
        <v>69375.836746740591</v>
      </c>
      <c r="S81" s="79">
        <v>54629.386746740587</v>
      </c>
      <c r="T81" s="79">
        <v>146876.21024022176</v>
      </c>
      <c r="U81" s="79">
        <v>54557.138098972166</v>
      </c>
      <c r="V81" s="79">
        <v>0</v>
      </c>
      <c r="W81" s="79">
        <v>0</v>
      </c>
      <c r="X81" s="79">
        <v>0</v>
      </c>
      <c r="Y81" s="79">
        <v>0</v>
      </c>
      <c r="Z81" s="79"/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534659.95336992724</v>
      </c>
      <c r="AR81" s="79">
        <v>392811.39431259962</v>
      </c>
      <c r="AS81" s="79">
        <v>349165.68383342191</v>
      </c>
      <c r="AT81" s="79">
        <v>360077.11145321629</v>
      </c>
      <c r="AU81" s="79">
        <v>0</v>
      </c>
      <c r="AV81" s="79"/>
      <c r="AW81" s="79">
        <v>0</v>
      </c>
      <c r="AX81" s="79">
        <v>109114.27619794433</v>
      </c>
      <c r="AY81" s="79">
        <v>109114.27619794433</v>
      </c>
      <c r="AZ81" s="79">
        <v>436457.10479177732</v>
      </c>
      <c r="BA81" s="79">
        <v>0</v>
      </c>
      <c r="BB81" s="79">
        <v>0</v>
      </c>
      <c r="BC81" s="79">
        <v>0</v>
      </c>
      <c r="BD81" s="79">
        <v>109114.27619794433</v>
      </c>
      <c r="BE81" s="79">
        <v>0</v>
      </c>
      <c r="BF81" s="79">
        <v>0</v>
      </c>
      <c r="BG81" s="79">
        <v>0</v>
      </c>
      <c r="BH81" s="79">
        <v>0</v>
      </c>
      <c r="BI81" s="79">
        <v>0</v>
      </c>
      <c r="BJ81" s="79"/>
      <c r="BK81" s="79">
        <v>40000</v>
      </c>
      <c r="BL81" s="79"/>
      <c r="BM81" s="79">
        <v>123601.17</v>
      </c>
      <c r="BN81" s="79">
        <v>1966.81</v>
      </c>
      <c r="BO81" s="79">
        <v>0</v>
      </c>
      <c r="BP81" s="79">
        <v>0</v>
      </c>
      <c r="BQ81" s="79">
        <v>0</v>
      </c>
      <c r="BR81" s="79">
        <v>0</v>
      </c>
      <c r="BS81" s="79">
        <v>0</v>
      </c>
      <c r="BT81" s="79">
        <v>0</v>
      </c>
      <c r="BU81" s="79">
        <v>0</v>
      </c>
      <c r="BV81" s="80">
        <v>0</v>
      </c>
      <c r="BW81" s="80">
        <v>0</v>
      </c>
      <c r="BX81" s="80">
        <v>0</v>
      </c>
      <c r="BY81" s="80">
        <v>0</v>
      </c>
      <c r="BZ81" s="80">
        <v>45000</v>
      </c>
      <c r="CA81" s="80">
        <v>0</v>
      </c>
      <c r="CB81" s="80">
        <v>0</v>
      </c>
      <c r="CC81" s="80">
        <v>0</v>
      </c>
      <c r="CD81" s="79">
        <v>218228.55239588866</v>
      </c>
      <c r="CE81" s="79">
        <v>109114.27619794433</v>
      </c>
      <c r="CF81" s="79">
        <v>128098.27015668922</v>
      </c>
      <c r="CG81" s="79">
        <v>105202</v>
      </c>
      <c r="CH81" s="79">
        <v>0</v>
      </c>
      <c r="CI81" s="79">
        <v>0</v>
      </c>
      <c r="CJ81" s="79">
        <v>0</v>
      </c>
      <c r="CK81" s="79">
        <v>0</v>
      </c>
      <c r="CL81" s="79">
        <v>0</v>
      </c>
      <c r="CM81" s="79">
        <v>295048.09999999998</v>
      </c>
      <c r="CN81" s="79">
        <v>0</v>
      </c>
      <c r="CO81" s="79">
        <v>105202</v>
      </c>
      <c r="CP81" s="79">
        <v>0</v>
      </c>
      <c r="CQ81" s="79">
        <v>3718.397435897436</v>
      </c>
      <c r="CR81" s="79">
        <v>0</v>
      </c>
      <c r="CS81" s="79">
        <v>37984.747675781255</v>
      </c>
      <c r="CT81" s="79"/>
      <c r="CU81" s="79">
        <v>0</v>
      </c>
      <c r="CV81" s="79"/>
      <c r="CW81" s="79">
        <v>0</v>
      </c>
      <c r="CX81" s="79">
        <v>0</v>
      </c>
      <c r="CY81" s="79">
        <v>0</v>
      </c>
      <c r="CZ81" s="79">
        <v>0</v>
      </c>
      <c r="DA81" s="79">
        <v>26900</v>
      </c>
      <c r="DB81" s="79">
        <v>58458.288257279477</v>
      </c>
      <c r="DC81" s="82">
        <v>0</v>
      </c>
      <c r="DD81" s="79">
        <v>0</v>
      </c>
      <c r="DE81" s="79"/>
      <c r="DF81" s="79">
        <v>7600</v>
      </c>
      <c r="DG81" s="79">
        <v>0</v>
      </c>
      <c r="DH81" s="83">
        <v>0</v>
      </c>
      <c r="DI81" s="79">
        <v>17962.342726085368</v>
      </c>
      <c r="DJ81" s="79">
        <v>4831870.1933169635</v>
      </c>
      <c r="DK81" s="84">
        <v>163671.8066830365</v>
      </c>
      <c r="DL81" s="84">
        <v>0</v>
      </c>
      <c r="DM81" s="84">
        <f t="shared" si="54"/>
        <v>4995542</v>
      </c>
      <c r="DN81" s="84">
        <f>'[7]FY20 Initial Budget Alloca FTE'!F81*DN$1</f>
        <v>408254.00967948721</v>
      </c>
      <c r="DO81" s="81">
        <f t="shared" si="40"/>
        <v>40000</v>
      </c>
      <c r="DP81" s="81">
        <f t="shared" si="55"/>
        <v>244618.66759258666</v>
      </c>
      <c r="DQ81" s="74">
        <f t="shared" si="56"/>
        <v>123635.34208690055</v>
      </c>
      <c r="DR81" s="85">
        <f t="shared" si="37"/>
        <v>0.30283925976370546</v>
      </c>
      <c r="DS81" s="81">
        <f t="shared" si="57"/>
        <v>3194200.1702518668</v>
      </c>
      <c r="DT81" s="81">
        <f t="shared" si="41"/>
        <v>654685.65718766605</v>
      </c>
      <c r="DU81" s="81">
        <f t="shared" si="42"/>
        <v>109114.27619794433</v>
      </c>
      <c r="DV81" s="81">
        <f t="shared" si="34"/>
        <v>170567.97999999998</v>
      </c>
      <c r="DW81" s="81">
        <f t="shared" si="43"/>
        <v>0</v>
      </c>
      <c r="DX81" s="81">
        <f t="shared" si="44"/>
        <v>0</v>
      </c>
      <c r="DY81" s="81">
        <f t="shared" si="45"/>
        <v>0</v>
      </c>
      <c r="DZ81" s="81">
        <f t="shared" si="46"/>
        <v>295048.09999999998</v>
      </c>
      <c r="EA81" s="74">
        <f t="shared" si="47"/>
        <v>123635.34208690055</v>
      </c>
      <c r="EB81" s="81">
        <f t="shared" si="48"/>
        <v>40000</v>
      </c>
      <c r="EC81" s="81">
        <f t="shared" si="48"/>
        <v>244618.66759258666</v>
      </c>
      <c r="ED81" s="86">
        <f t="shared" si="58"/>
        <v>0.30283925976370546</v>
      </c>
      <c r="EE81" s="81">
        <f t="shared" si="59"/>
        <v>408254.00967948721</v>
      </c>
      <c r="EF81" s="81">
        <f t="shared" si="60"/>
        <v>4831870.1933169644</v>
      </c>
      <c r="EG81" s="81">
        <f t="shared" si="49"/>
        <v>0</v>
      </c>
      <c r="EH81" s="81">
        <v>4496219.3332262198</v>
      </c>
      <c r="EI81" s="84">
        <f t="shared" si="63"/>
        <v>4536822.0933169639</v>
      </c>
      <c r="EJ81" s="74">
        <f t="shared" si="50"/>
        <v>335650.86009074375</v>
      </c>
      <c r="EK81" s="74">
        <f t="shared" si="51"/>
        <v>40602.760090744123</v>
      </c>
      <c r="EM81" s="88">
        <f t="shared" si="52"/>
        <v>269</v>
      </c>
      <c r="EN81" s="74">
        <v>269</v>
      </c>
      <c r="EO81" s="74">
        <f t="shared" si="53"/>
        <v>0</v>
      </c>
      <c r="EP81" s="72">
        <v>265</v>
      </c>
      <c r="EQ81" s="74">
        <f t="shared" si="61"/>
        <v>-4</v>
      </c>
      <c r="ER81" s="72">
        <v>256</v>
      </c>
      <c r="ES81" s="74">
        <f t="shared" si="62"/>
        <v>13</v>
      </c>
      <c r="ET81" s="74"/>
      <c r="EU81" s="74"/>
      <c r="EV81" s="74"/>
      <c r="EW81" s="89"/>
      <c r="EX81" s="81">
        <f t="shared" si="38"/>
        <v>4191592.6799480058</v>
      </c>
      <c r="EY81" s="81">
        <f t="shared" si="39"/>
        <v>640277.51336895814</v>
      </c>
    </row>
    <row r="82" spans="1:155" x14ac:dyDescent="0.25">
      <c r="A82" s="76">
        <v>299</v>
      </c>
      <c r="B82" s="76" t="s">
        <v>221</v>
      </c>
      <c r="C82" s="77" t="s">
        <v>135</v>
      </c>
      <c r="D82" s="41">
        <v>7</v>
      </c>
      <c r="E82" s="78">
        <v>300</v>
      </c>
      <c r="F82" s="78">
        <v>247</v>
      </c>
      <c r="G82" s="79">
        <v>173177.12015668923</v>
      </c>
      <c r="H82" s="79">
        <v>109114.27619794433</v>
      </c>
      <c r="I82" s="79">
        <v>112316.1761253514</v>
      </c>
      <c r="J82" s="79">
        <v>0</v>
      </c>
      <c r="K82" s="79">
        <v>0</v>
      </c>
      <c r="L82" s="79">
        <v>81577.320156689224</v>
      </c>
      <c r="M82" s="79">
        <v>59319.676384927567</v>
      </c>
      <c r="N82" s="79">
        <v>0</v>
      </c>
      <c r="O82" s="79">
        <v>0</v>
      </c>
      <c r="P82" s="79">
        <v>0</v>
      </c>
      <c r="Q82" s="79"/>
      <c r="R82" s="79">
        <v>69375.836746740591</v>
      </c>
      <c r="S82" s="79">
        <v>54629.386746740587</v>
      </c>
      <c r="T82" s="79">
        <v>48958.736746740586</v>
      </c>
      <c r="U82" s="79">
        <v>109114.27619794433</v>
      </c>
      <c r="V82" s="79">
        <v>109114.27619794433</v>
      </c>
      <c r="W82" s="79">
        <v>109114.27619794433</v>
      </c>
      <c r="X82" s="79">
        <v>109114.27619794433</v>
      </c>
      <c r="Y82" s="79">
        <f>109114.276197944-Z82</f>
        <v>-3.3469405025243759E-10</v>
      </c>
      <c r="Z82" s="79">
        <f>1*Z$121</f>
        <v>109114.27619794433</v>
      </c>
      <c r="AA82" s="79">
        <v>0</v>
      </c>
      <c r="AB82" s="79">
        <v>0</v>
      </c>
      <c r="AC82" s="79">
        <v>436457.10479177732</v>
      </c>
      <c r="AD82" s="79">
        <v>137610.50553971028</v>
      </c>
      <c r="AE82" s="79">
        <v>0</v>
      </c>
      <c r="AF82" s="79">
        <v>0</v>
      </c>
      <c r="AG82" s="79">
        <v>218228.55239588866</v>
      </c>
      <c r="AH82" s="79">
        <v>68805.252769855142</v>
      </c>
      <c r="AI82" s="79">
        <v>218228.55239588866</v>
      </c>
      <c r="AJ82" s="79">
        <v>218228.55239588866</v>
      </c>
      <c r="AK82" s="79">
        <v>218228.55239588866</v>
      </c>
      <c r="AL82" s="79">
        <v>218228.55239588866</v>
      </c>
      <c r="AM82" s="79">
        <v>218228.55239588866</v>
      </c>
      <c r="AN82" s="79">
        <v>0</v>
      </c>
      <c r="AO82" s="79">
        <v>0</v>
      </c>
      <c r="AP82" s="79">
        <v>0</v>
      </c>
      <c r="AQ82" s="79">
        <v>0</v>
      </c>
      <c r="AR82" s="79">
        <v>0</v>
      </c>
      <c r="AS82" s="79">
        <v>0</v>
      </c>
      <c r="AT82" s="79">
        <v>0</v>
      </c>
      <c r="AU82" s="79">
        <v>0</v>
      </c>
      <c r="AV82" s="79"/>
      <c r="AW82" s="79">
        <v>0</v>
      </c>
      <c r="AX82" s="79">
        <v>109114.27619794433</v>
      </c>
      <c r="AY82" s="79">
        <v>109114.27619794433</v>
      </c>
      <c r="AZ82" s="79">
        <v>654685.65718766605</v>
      </c>
      <c r="BA82" s="79">
        <v>206415.75830956543</v>
      </c>
      <c r="BB82" s="79">
        <v>0</v>
      </c>
      <c r="BC82" s="79">
        <v>0</v>
      </c>
      <c r="BD82" s="79">
        <v>109114.27619794433</v>
      </c>
      <c r="BE82" s="79">
        <v>0</v>
      </c>
      <c r="BF82" s="79">
        <v>0</v>
      </c>
      <c r="BG82" s="79">
        <f>41902-BL82</f>
        <v>11974</v>
      </c>
      <c r="BH82" s="79">
        <v>39284</v>
      </c>
      <c r="BI82" s="79">
        <v>6734</v>
      </c>
      <c r="BJ82" s="79"/>
      <c r="BK82" s="79">
        <v>0</v>
      </c>
      <c r="BL82" s="79">
        <v>29928</v>
      </c>
      <c r="BM82" s="79">
        <v>177795.54</v>
      </c>
      <c r="BN82" s="79">
        <v>2829.19</v>
      </c>
      <c r="BO82" s="79">
        <v>0</v>
      </c>
      <c r="BP82" s="79">
        <v>0</v>
      </c>
      <c r="BQ82" s="79">
        <v>0</v>
      </c>
      <c r="BR82" s="79">
        <v>0</v>
      </c>
      <c r="BS82" s="79">
        <v>0</v>
      </c>
      <c r="BT82" s="79">
        <v>0</v>
      </c>
      <c r="BU82" s="79">
        <v>0</v>
      </c>
      <c r="BV82" s="80">
        <v>0</v>
      </c>
      <c r="BW82" s="80">
        <v>0</v>
      </c>
      <c r="BX82" s="80">
        <v>0</v>
      </c>
      <c r="BY82" s="80">
        <v>0</v>
      </c>
      <c r="BZ82" s="80">
        <v>0</v>
      </c>
      <c r="CA82" s="80">
        <v>0</v>
      </c>
      <c r="CB82" s="80">
        <v>0</v>
      </c>
      <c r="CC82" s="80">
        <v>0</v>
      </c>
      <c r="CD82" s="79">
        <v>0</v>
      </c>
      <c r="CE82" s="79">
        <v>0</v>
      </c>
      <c r="CF82" s="79">
        <v>0</v>
      </c>
      <c r="CG82" s="79">
        <v>0</v>
      </c>
      <c r="CH82" s="79">
        <v>0</v>
      </c>
      <c r="CI82" s="79">
        <v>0</v>
      </c>
      <c r="CJ82" s="79">
        <v>0</v>
      </c>
      <c r="CK82" s="79">
        <v>0</v>
      </c>
      <c r="CL82" s="79">
        <v>0</v>
      </c>
      <c r="CM82" s="79">
        <v>54082.8</v>
      </c>
      <c r="CN82" s="79">
        <v>0</v>
      </c>
      <c r="CO82" s="79">
        <v>0</v>
      </c>
      <c r="CP82" s="79">
        <v>0</v>
      </c>
      <c r="CQ82" s="79">
        <v>9880</v>
      </c>
      <c r="CR82" s="79">
        <v>0</v>
      </c>
      <c r="CS82" s="79">
        <v>17229.660714285714</v>
      </c>
      <c r="CT82" s="79"/>
      <c r="CU82" s="79">
        <v>0</v>
      </c>
      <c r="CV82" s="79"/>
      <c r="CW82" s="79">
        <v>0</v>
      </c>
      <c r="CX82" s="79">
        <v>0</v>
      </c>
      <c r="CY82" s="79">
        <v>0</v>
      </c>
      <c r="CZ82" s="79">
        <v>0</v>
      </c>
      <c r="DA82" s="79">
        <v>30000</v>
      </c>
      <c r="DB82" s="79">
        <v>70755.126142290479</v>
      </c>
      <c r="DC82" s="82">
        <v>0</v>
      </c>
      <c r="DD82" s="79">
        <v>0</v>
      </c>
      <c r="DE82" s="79"/>
      <c r="DF82" s="79">
        <v>24600</v>
      </c>
      <c r="DG82" s="79">
        <v>0</v>
      </c>
      <c r="DH82" s="83">
        <v>112030.49209812414</v>
      </c>
      <c r="DI82" s="79">
        <v>16606.170469246616</v>
      </c>
      <c r="DJ82" s="79">
        <v>4981851.1407739846</v>
      </c>
      <c r="DK82" s="84">
        <v>-7.7398493885993958E-4</v>
      </c>
      <c r="DL82" s="84">
        <v>109149.41</v>
      </c>
      <c r="DM82" s="84">
        <f t="shared" si="54"/>
        <v>5091000.55</v>
      </c>
      <c r="DN82" s="84">
        <f>'[7]FY20 Initial Budget Alloca FTE'!F82*DN$1</f>
        <v>542377.42000000004</v>
      </c>
      <c r="DO82" s="81">
        <f t="shared" si="40"/>
        <v>57992</v>
      </c>
      <c r="DP82" s="81">
        <f t="shared" si="55"/>
        <v>143594.27619794433</v>
      </c>
      <c r="DQ82" s="74">
        <f t="shared" si="56"/>
        <v>340791.14380205574</v>
      </c>
      <c r="DR82" s="85">
        <f t="shared" si="37"/>
        <v>0.62832841345433543</v>
      </c>
      <c r="DS82" s="81">
        <f t="shared" si="57"/>
        <v>2874363.4545847955</v>
      </c>
      <c r="DT82" s="81">
        <f t="shared" si="41"/>
        <v>1079329.9678931201</v>
      </c>
      <c r="DU82" s="81">
        <f t="shared" si="42"/>
        <v>109114.27619794433</v>
      </c>
      <c r="DV82" s="81">
        <f t="shared" si="34"/>
        <v>210552.73</v>
      </c>
      <c r="DW82" s="81">
        <f t="shared" si="43"/>
        <v>0</v>
      </c>
      <c r="DX82" s="81">
        <f t="shared" si="44"/>
        <v>0</v>
      </c>
      <c r="DY82" s="81">
        <f t="shared" si="45"/>
        <v>112030.49209812414</v>
      </c>
      <c r="DZ82" s="81">
        <f t="shared" si="46"/>
        <v>54082.8</v>
      </c>
      <c r="EA82" s="74">
        <f t="shared" si="47"/>
        <v>340791.14380205574</v>
      </c>
      <c r="EB82" s="81">
        <f t="shared" si="48"/>
        <v>57992</v>
      </c>
      <c r="EC82" s="81">
        <f t="shared" si="48"/>
        <v>143594.27619794433</v>
      </c>
      <c r="ED82" s="86">
        <f t="shared" si="58"/>
        <v>0.62832841345433543</v>
      </c>
      <c r="EE82" s="81">
        <f t="shared" si="59"/>
        <v>542377.42000000004</v>
      </c>
      <c r="EF82" s="81">
        <f t="shared" si="60"/>
        <v>4981851.1407739846</v>
      </c>
      <c r="EG82" s="81">
        <f t="shared" si="49"/>
        <v>0</v>
      </c>
      <c r="EH82" s="81">
        <v>5217788.0809620824</v>
      </c>
      <c r="EI82" s="84">
        <f t="shared" si="63"/>
        <v>4927768.3407739848</v>
      </c>
      <c r="EJ82" s="74">
        <f t="shared" si="50"/>
        <v>-235936.94018809777</v>
      </c>
      <c r="EK82" s="74">
        <f t="shared" si="51"/>
        <v>-290019.74018809758</v>
      </c>
      <c r="EM82" s="88">
        <f t="shared" si="52"/>
        <v>300</v>
      </c>
      <c r="EN82" s="74">
        <v>353</v>
      </c>
      <c r="EO82" s="74">
        <f t="shared" si="53"/>
        <v>-53</v>
      </c>
      <c r="EP82" s="72">
        <v>331</v>
      </c>
      <c r="EQ82" s="74">
        <f t="shared" si="61"/>
        <v>-22</v>
      </c>
      <c r="ER82" s="72">
        <v>346</v>
      </c>
      <c r="ES82" s="74">
        <f t="shared" si="62"/>
        <v>-46</v>
      </c>
      <c r="ET82" s="74"/>
      <c r="EU82" s="74"/>
      <c r="EV82" s="74"/>
      <c r="EW82" s="89"/>
      <c r="EX82" s="81">
        <f t="shared" si="38"/>
        <v>4452720.3318192838</v>
      </c>
      <c r="EY82" s="81">
        <f t="shared" si="39"/>
        <v>529130.80895470036</v>
      </c>
    </row>
    <row r="83" spans="1:155" x14ac:dyDescent="0.25">
      <c r="A83" s="76">
        <v>300</v>
      </c>
      <c r="B83" s="76" t="s">
        <v>222</v>
      </c>
      <c r="C83" s="77" t="s">
        <v>135</v>
      </c>
      <c r="D83" s="41">
        <v>4</v>
      </c>
      <c r="E83" s="78">
        <v>520</v>
      </c>
      <c r="F83" s="78">
        <v>262.05970149253733</v>
      </c>
      <c r="G83" s="79">
        <v>173177.12015668923</v>
      </c>
      <c r="H83" s="79">
        <v>109114.27619794433</v>
      </c>
      <c r="I83" s="79">
        <v>182513.78620369601</v>
      </c>
      <c r="J83" s="79">
        <v>0</v>
      </c>
      <c r="K83" s="79">
        <v>0</v>
      </c>
      <c r="L83" s="79">
        <v>81577.320156689224</v>
      </c>
      <c r="M83" s="79">
        <v>59319.676384927567</v>
      </c>
      <c r="N83" s="79">
        <v>58025.924300405837</v>
      </c>
      <c r="O83" s="79">
        <v>0</v>
      </c>
      <c r="P83" s="79">
        <v>0</v>
      </c>
      <c r="Q83" s="79"/>
      <c r="R83" s="79">
        <v>69375.836746740591</v>
      </c>
      <c r="S83" s="79">
        <v>54629.386746740587</v>
      </c>
      <c r="T83" s="79">
        <v>146876.21024022176</v>
      </c>
      <c r="U83" s="79">
        <v>109114.27619794433</v>
      </c>
      <c r="V83" s="79">
        <v>109114.27619794433</v>
      </c>
      <c r="W83" s="79">
        <v>109114.27619794433</v>
      </c>
      <c r="X83" s="79">
        <v>109114.27619794433</v>
      </c>
      <c r="Y83" s="79">
        <v>163671.41429691651</v>
      </c>
      <c r="Z83" s="79"/>
      <c r="AA83" s="79">
        <v>0</v>
      </c>
      <c r="AB83" s="79">
        <v>0</v>
      </c>
      <c r="AC83" s="79">
        <v>545571.38098972163</v>
      </c>
      <c r="AD83" s="79">
        <v>172013.13192463786</v>
      </c>
      <c r="AE83" s="79">
        <v>0</v>
      </c>
      <c r="AF83" s="79">
        <v>0</v>
      </c>
      <c r="AG83" s="79">
        <v>327342.82859383302</v>
      </c>
      <c r="AH83" s="79">
        <v>103207.87915478271</v>
      </c>
      <c r="AI83" s="79">
        <v>436457.10479177732</v>
      </c>
      <c r="AJ83" s="79">
        <v>327342.82859383302</v>
      </c>
      <c r="AK83" s="79">
        <v>327342.82859383302</v>
      </c>
      <c r="AL83" s="79">
        <v>436457.10479177732</v>
      </c>
      <c r="AM83" s="79">
        <v>327342.82859383302</v>
      </c>
      <c r="AN83" s="79">
        <v>0</v>
      </c>
      <c r="AO83" s="79">
        <v>0</v>
      </c>
      <c r="AP83" s="79">
        <v>0</v>
      </c>
      <c r="AQ83" s="79">
        <v>0</v>
      </c>
      <c r="AR83" s="79">
        <v>0</v>
      </c>
      <c r="AS83" s="79">
        <v>0</v>
      </c>
      <c r="AT83" s="79">
        <v>0</v>
      </c>
      <c r="AU83" s="79">
        <v>0</v>
      </c>
      <c r="AV83" s="79"/>
      <c r="AW83" s="79">
        <v>0</v>
      </c>
      <c r="AX83" s="79">
        <v>109114.27619794433</v>
      </c>
      <c r="AY83" s="79">
        <v>109114.27619794433</v>
      </c>
      <c r="AZ83" s="79">
        <v>654685.65718766605</v>
      </c>
      <c r="BA83" s="79">
        <v>0</v>
      </c>
      <c r="BB83" s="79">
        <v>0</v>
      </c>
      <c r="BC83" s="79">
        <v>0</v>
      </c>
      <c r="BD83" s="79">
        <v>1527599.8667712207</v>
      </c>
      <c r="BE83" s="79">
        <v>0</v>
      </c>
      <c r="BF83" s="79">
        <v>327342.82859383302</v>
      </c>
      <c r="BG83" s="79">
        <f>83804-BL83</f>
        <v>31804.1</v>
      </c>
      <c r="BH83" s="79">
        <v>78568</v>
      </c>
      <c r="BI83" s="79">
        <v>0</v>
      </c>
      <c r="BJ83" s="79"/>
      <c r="BK83" s="79">
        <v>0</v>
      </c>
      <c r="BL83" s="79">
        <v>51999.9</v>
      </c>
      <c r="BM83" s="79">
        <v>259562.47</v>
      </c>
      <c r="BN83" s="79">
        <v>4130.3100000000004</v>
      </c>
      <c r="BO83" s="79">
        <v>0</v>
      </c>
      <c r="BP83" s="79">
        <v>0</v>
      </c>
      <c r="BQ83" s="79">
        <v>0</v>
      </c>
      <c r="BR83" s="79">
        <v>0</v>
      </c>
      <c r="BS83" s="79">
        <v>0</v>
      </c>
      <c r="BT83" s="79">
        <v>0</v>
      </c>
      <c r="BU83" s="79">
        <v>0</v>
      </c>
      <c r="BV83" s="80">
        <v>0</v>
      </c>
      <c r="BW83" s="80">
        <v>0</v>
      </c>
      <c r="BX83" s="80">
        <v>0</v>
      </c>
      <c r="BY83" s="80">
        <v>0</v>
      </c>
      <c r="BZ83" s="80">
        <v>0</v>
      </c>
      <c r="CA83" s="80">
        <v>0</v>
      </c>
      <c r="CB83" s="80">
        <v>0</v>
      </c>
      <c r="CC83" s="80">
        <v>0</v>
      </c>
      <c r="CD83" s="79">
        <v>0</v>
      </c>
      <c r="CE83" s="79">
        <v>0</v>
      </c>
      <c r="CF83" s="79">
        <v>0</v>
      </c>
      <c r="CG83" s="79">
        <v>0</v>
      </c>
      <c r="CH83" s="79">
        <v>0</v>
      </c>
      <c r="CI83" s="79">
        <v>0</v>
      </c>
      <c r="CJ83" s="79">
        <v>0</v>
      </c>
      <c r="CK83" s="79">
        <v>0</v>
      </c>
      <c r="CL83" s="79">
        <v>0</v>
      </c>
      <c r="CM83" s="79">
        <v>108165.6</v>
      </c>
      <c r="CN83" s="79">
        <v>0</v>
      </c>
      <c r="CO83" s="79">
        <v>0</v>
      </c>
      <c r="CP83" s="79">
        <v>0</v>
      </c>
      <c r="CQ83" s="79">
        <v>5241.194029850747</v>
      </c>
      <c r="CR83" s="79">
        <v>146160</v>
      </c>
      <c r="CS83" s="79">
        <v>26121.416666666664</v>
      </c>
      <c r="CT83" s="79"/>
      <c r="CU83" s="79">
        <v>0</v>
      </c>
      <c r="CV83" s="79"/>
      <c r="CW83" s="79">
        <v>0</v>
      </c>
      <c r="CX83" s="79">
        <v>0</v>
      </c>
      <c r="CY83" s="79">
        <v>0</v>
      </c>
      <c r="CZ83" s="79">
        <v>0</v>
      </c>
      <c r="DA83" s="79">
        <v>52000</v>
      </c>
      <c r="DB83" s="79">
        <v>119330.5093229101</v>
      </c>
      <c r="DC83" s="82">
        <v>0</v>
      </c>
      <c r="DD83" s="79">
        <v>0</v>
      </c>
      <c r="DE83" s="79"/>
      <c r="DF83" s="79">
        <v>39550</v>
      </c>
      <c r="DG83" s="79">
        <v>0</v>
      </c>
      <c r="DH83" s="83">
        <v>0</v>
      </c>
      <c r="DI83" s="79">
        <v>15746.743033113102</v>
      </c>
      <c r="DJ83" s="79">
        <v>8188306.3772188146</v>
      </c>
      <c r="DK83" s="84">
        <v>2.7811853215098381E-3</v>
      </c>
      <c r="DL83" s="84">
        <v>0</v>
      </c>
      <c r="DM83" s="84">
        <f t="shared" si="54"/>
        <v>8188306.3799999999</v>
      </c>
      <c r="DN83" s="84">
        <f>'[7]FY20 Initial Budget Alloca FTE'!F83*DN$1</f>
        <v>575446.41611940309</v>
      </c>
      <c r="DO83" s="81">
        <f t="shared" si="40"/>
        <v>110372.1</v>
      </c>
      <c r="DP83" s="81">
        <f t="shared" si="55"/>
        <v>190951.19402985074</v>
      </c>
      <c r="DQ83" s="74">
        <f t="shared" si="56"/>
        <v>274123.12208955234</v>
      </c>
      <c r="DR83" s="85">
        <f t="shared" si="37"/>
        <v>0.4763660254209886</v>
      </c>
      <c r="DS83" s="81">
        <f t="shared" si="57"/>
        <v>4461144.7761508031</v>
      </c>
      <c r="DT83" s="81">
        <f t="shared" si="41"/>
        <v>872914.20958355465</v>
      </c>
      <c r="DU83" s="81">
        <f t="shared" si="42"/>
        <v>1854942.6953650536</v>
      </c>
      <c r="DV83" s="81">
        <f t="shared" si="34"/>
        <v>315692.68</v>
      </c>
      <c r="DW83" s="81">
        <f t="shared" si="43"/>
        <v>0</v>
      </c>
      <c r="DX83" s="81">
        <f t="shared" si="44"/>
        <v>0</v>
      </c>
      <c r="DY83" s="81">
        <f t="shared" si="45"/>
        <v>0</v>
      </c>
      <c r="DZ83" s="81">
        <f t="shared" si="46"/>
        <v>108165.6</v>
      </c>
      <c r="EA83" s="74">
        <f t="shared" si="47"/>
        <v>274123.12208955234</v>
      </c>
      <c r="EB83" s="81">
        <f t="shared" si="48"/>
        <v>110372.1</v>
      </c>
      <c r="EC83" s="81">
        <f t="shared" si="48"/>
        <v>190951.19402985074</v>
      </c>
      <c r="ED83" s="86">
        <f t="shared" si="58"/>
        <v>0.4763660254209886</v>
      </c>
      <c r="EE83" s="81">
        <f t="shared" si="59"/>
        <v>575446.41611940309</v>
      </c>
      <c r="EF83" s="81">
        <f t="shared" si="60"/>
        <v>8188306.3772188136</v>
      </c>
      <c r="EG83" s="81">
        <f t="shared" si="49"/>
        <v>0</v>
      </c>
      <c r="EH83" s="81">
        <v>8012863.1243274771</v>
      </c>
      <c r="EI83" s="84">
        <f t="shared" si="63"/>
        <v>8080140.7772188149</v>
      </c>
      <c r="EJ83" s="74">
        <f t="shared" si="50"/>
        <v>175443.2528913375</v>
      </c>
      <c r="EK83" s="74">
        <f t="shared" si="51"/>
        <v>67277.652891337872</v>
      </c>
      <c r="EM83" s="88">
        <f t="shared" si="52"/>
        <v>520</v>
      </c>
      <c r="EN83" s="74">
        <v>544</v>
      </c>
      <c r="EO83" s="74">
        <f t="shared" si="53"/>
        <v>-24</v>
      </c>
      <c r="EP83" s="72">
        <v>535</v>
      </c>
      <c r="EQ83" s="74">
        <f t="shared" si="61"/>
        <v>-9</v>
      </c>
      <c r="ER83" s="72">
        <v>538</v>
      </c>
      <c r="ES83" s="74">
        <f t="shared" si="62"/>
        <v>-18</v>
      </c>
      <c r="ET83" s="74"/>
      <c r="EU83" s="74"/>
      <c r="EV83" s="74"/>
      <c r="EW83" s="89"/>
      <c r="EX83" s="81">
        <f t="shared" si="38"/>
        <v>7376044.9771993868</v>
      </c>
      <c r="EY83" s="81">
        <f t="shared" si="39"/>
        <v>812261.40001942753</v>
      </c>
    </row>
    <row r="84" spans="1:155" x14ac:dyDescent="0.25">
      <c r="A84" s="76">
        <v>316</v>
      </c>
      <c r="B84" s="76" t="s">
        <v>223</v>
      </c>
      <c r="C84" s="77" t="s">
        <v>135</v>
      </c>
      <c r="D84" s="41">
        <v>7</v>
      </c>
      <c r="E84" s="78">
        <v>339</v>
      </c>
      <c r="F84" s="78">
        <v>215.50437317784255</v>
      </c>
      <c r="G84" s="79">
        <v>173177.12015668923</v>
      </c>
      <c r="H84" s="79">
        <v>109114.27619794433</v>
      </c>
      <c r="I84" s="79">
        <v>112316.1761253514</v>
      </c>
      <c r="J84" s="79">
        <v>0</v>
      </c>
      <c r="K84" s="79">
        <v>0</v>
      </c>
      <c r="L84" s="79">
        <v>81577.320156689224</v>
      </c>
      <c r="M84" s="79">
        <v>59319.676384927567</v>
      </c>
      <c r="N84" s="79">
        <v>0</v>
      </c>
      <c r="O84" s="79">
        <v>0</v>
      </c>
      <c r="P84" s="79">
        <v>0</v>
      </c>
      <c r="Q84" s="79"/>
      <c r="R84" s="79">
        <v>69375.836746740591</v>
      </c>
      <c r="S84" s="79">
        <v>54629.386746740587</v>
      </c>
      <c r="T84" s="79">
        <v>97917.473493481171</v>
      </c>
      <c r="U84" s="79">
        <v>109114.27619794433</v>
      </c>
      <c r="V84" s="79">
        <v>109114.27619794433</v>
      </c>
      <c r="W84" s="79">
        <v>109114.27619794433</v>
      </c>
      <c r="X84" s="79">
        <v>109114.27619794433</v>
      </c>
      <c r="Y84" s="79">
        <v>0</v>
      </c>
      <c r="Z84" s="79"/>
      <c r="AA84" s="79">
        <v>218228.55239588866</v>
      </c>
      <c r="AB84" s="79">
        <v>68805.252769855142</v>
      </c>
      <c r="AC84" s="79">
        <v>109114.27619794433</v>
      </c>
      <c r="AD84" s="79">
        <v>34402.626384927571</v>
      </c>
      <c r="AE84" s="79">
        <v>218228.55239588866</v>
      </c>
      <c r="AF84" s="79">
        <v>68805.252769855142</v>
      </c>
      <c r="AG84" s="79">
        <v>218228.55239588866</v>
      </c>
      <c r="AH84" s="79">
        <v>68805.252769855142</v>
      </c>
      <c r="AI84" s="79">
        <v>218228.55239588866</v>
      </c>
      <c r="AJ84" s="79">
        <v>218228.55239588866</v>
      </c>
      <c r="AK84" s="79">
        <v>218228.55239588866</v>
      </c>
      <c r="AL84" s="79">
        <v>218228.55239588866</v>
      </c>
      <c r="AM84" s="79">
        <v>218228.55239588866</v>
      </c>
      <c r="AN84" s="79">
        <v>0</v>
      </c>
      <c r="AO84" s="79">
        <v>0</v>
      </c>
      <c r="AP84" s="79">
        <v>0</v>
      </c>
      <c r="AQ84" s="79">
        <v>0</v>
      </c>
      <c r="AR84" s="79">
        <v>0</v>
      </c>
      <c r="AS84" s="79">
        <v>0</v>
      </c>
      <c r="AT84" s="79">
        <v>0</v>
      </c>
      <c r="AU84" s="79">
        <v>0</v>
      </c>
      <c r="AV84" s="79"/>
      <c r="AW84" s="79">
        <v>0</v>
      </c>
      <c r="AX84" s="79">
        <v>109114.27619794433</v>
      </c>
      <c r="AY84" s="79">
        <v>109114.27619794433</v>
      </c>
      <c r="AZ84" s="79">
        <v>327342.82859383302</v>
      </c>
      <c r="BA84" s="79">
        <v>0</v>
      </c>
      <c r="BB84" s="79">
        <v>0</v>
      </c>
      <c r="BC84" s="79">
        <v>0</v>
      </c>
      <c r="BD84" s="79">
        <v>9919.4796543585762</v>
      </c>
      <c r="BE84" s="79">
        <v>0</v>
      </c>
      <c r="BF84" s="79">
        <v>0</v>
      </c>
      <c r="BG84" s="79">
        <f>29930-BL84</f>
        <v>12721.400000000001</v>
      </c>
      <c r="BH84" s="79">
        <v>28060</v>
      </c>
      <c r="BI84" s="79">
        <v>6734</v>
      </c>
      <c r="BJ84" s="79"/>
      <c r="BK84" s="79">
        <v>0</v>
      </c>
      <c r="BL84" s="79">
        <v>17208.599999999999</v>
      </c>
      <c r="BM84" s="79">
        <v>154026.07999999999</v>
      </c>
      <c r="BN84" s="79">
        <v>2450.9499999999998</v>
      </c>
      <c r="BO84" s="79">
        <v>0</v>
      </c>
      <c r="BP84" s="79">
        <v>0</v>
      </c>
      <c r="BQ84" s="79">
        <v>0</v>
      </c>
      <c r="BR84" s="79">
        <v>0</v>
      </c>
      <c r="BS84" s="79">
        <v>0</v>
      </c>
      <c r="BT84" s="79">
        <v>0</v>
      </c>
      <c r="BU84" s="79">
        <v>0</v>
      </c>
      <c r="BV84" s="80">
        <v>0</v>
      </c>
      <c r="BW84" s="80">
        <v>0</v>
      </c>
      <c r="BX84" s="80">
        <v>0</v>
      </c>
      <c r="BY84" s="80">
        <v>0</v>
      </c>
      <c r="BZ84" s="80">
        <v>0</v>
      </c>
      <c r="CA84" s="80">
        <v>0</v>
      </c>
      <c r="CB84" s="80">
        <v>0</v>
      </c>
      <c r="CC84" s="80">
        <v>0</v>
      </c>
      <c r="CD84" s="79">
        <v>0</v>
      </c>
      <c r="CE84" s="79">
        <v>0</v>
      </c>
      <c r="CF84" s="79">
        <v>0</v>
      </c>
      <c r="CG84" s="79">
        <v>0</v>
      </c>
      <c r="CH84" s="79">
        <v>0</v>
      </c>
      <c r="CI84" s="79">
        <v>0</v>
      </c>
      <c r="CJ84" s="79">
        <v>0</v>
      </c>
      <c r="CK84" s="79">
        <v>0</v>
      </c>
      <c r="CL84" s="79">
        <v>0</v>
      </c>
      <c r="CM84" s="79">
        <v>57070.8</v>
      </c>
      <c r="CN84" s="79">
        <v>0</v>
      </c>
      <c r="CO84" s="79">
        <v>0</v>
      </c>
      <c r="CP84" s="79">
        <v>0</v>
      </c>
      <c r="CQ84" s="79">
        <v>4310.0874635568507</v>
      </c>
      <c r="CR84" s="79">
        <v>0</v>
      </c>
      <c r="CS84" s="79">
        <v>19368.333333333332</v>
      </c>
      <c r="CT84" s="79"/>
      <c r="CU84" s="79">
        <v>0</v>
      </c>
      <c r="CV84" s="79"/>
      <c r="CW84" s="79">
        <v>0</v>
      </c>
      <c r="CX84" s="79">
        <v>0</v>
      </c>
      <c r="CY84" s="79">
        <v>0</v>
      </c>
      <c r="CZ84" s="79">
        <v>0</v>
      </c>
      <c r="DA84" s="79">
        <v>33900</v>
      </c>
      <c r="DB84" s="79">
        <v>61906.694615213884</v>
      </c>
      <c r="DC84" s="82">
        <v>0</v>
      </c>
      <c r="DD84" s="79">
        <v>15363.214285714286</v>
      </c>
      <c r="DE84" s="79"/>
      <c r="DF84" s="79">
        <v>23100</v>
      </c>
      <c r="DG84" s="79">
        <v>0</v>
      </c>
      <c r="DH84" s="83"/>
      <c r="DI84" s="79">
        <v>12629.370121539194</v>
      </c>
      <c r="DJ84" s="79">
        <v>4281356.4712017868</v>
      </c>
      <c r="DK84" s="84">
        <v>-1.201787032186985E-3</v>
      </c>
      <c r="DL84" s="84">
        <v>105628.72</v>
      </c>
      <c r="DM84" s="84">
        <f t="shared" si="54"/>
        <v>4386985.1899999995</v>
      </c>
      <c r="DN84" s="84">
        <f>'[7]FY20 Initial Budget Alloca FTE'!F84*DN$1</f>
        <v>473217.43288629735</v>
      </c>
      <c r="DO84" s="81">
        <f t="shared" si="40"/>
        <v>47515.4</v>
      </c>
      <c r="DP84" s="81">
        <f t="shared" si="55"/>
        <v>27410.087463556851</v>
      </c>
      <c r="DQ84" s="74">
        <f t="shared" si="56"/>
        <v>398291.94542274048</v>
      </c>
      <c r="DR84" s="85">
        <f t="shared" si="37"/>
        <v>0.84166794742416084</v>
      </c>
      <c r="DS84" s="81">
        <f t="shared" si="57"/>
        <v>3006528.533385694</v>
      </c>
      <c r="DT84" s="81">
        <f t="shared" si="41"/>
        <v>545571.38098972174</v>
      </c>
      <c r="DU84" s="81">
        <f t="shared" si="42"/>
        <v>9919.4796543585762</v>
      </c>
      <c r="DV84" s="81">
        <f t="shared" si="34"/>
        <v>173685.63</v>
      </c>
      <c r="DW84" s="81">
        <f t="shared" si="43"/>
        <v>15363.214285714286</v>
      </c>
      <c r="DX84" s="81">
        <f t="shared" si="44"/>
        <v>0</v>
      </c>
      <c r="DY84" s="81">
        <f t="shared" si="45"/>
        <v>0</v>
      </c>
      <c r="DZ84" s="81">
        <f t="shared" si="46"/>
        <v>57070.8</v>
      </c>
      <c r="EA84" s="74">
        <f t="shared" si="47"/>
        <v>398291.94542274048</v>
      </c>
      <c r="EB84" s="81">
        <f t="shared" si="48"/>
        <v>47515.4</v>
      </c>
      <c r="EC84" s="81">
        <f t="shared" si="48"/>
        <v>27410.087463556851</v>
      </c>
      <c r="ED84" s="86">
        <f t="shared" si="58"/>
        <v>0.84166794742416084</v>
      </c>
      <c r="EE84" s="81">
        <f t="shared" si="59"/>
        <v>473217.43288629735</v>
      </c>
      <c r="EF84" s="81">
        <f t="shared" si="60"/>
        <v>4281356.4712017858</v>
      </c>
      <c r="EG84" s="81">
        <f t="shared" si="49"/>
        <v>0</v>
      </c>
      <c r="EH84" s="81">
        <v>4462143.1224761521</v>
      </c>
      <c r="EI84" s="84">
        <f t="shared" si="63"/>
        <v>4224285.671201787</v>
      </c>
      <c r="EJ84" s="74">
        <f t="shared" si="50"/>
        <v>-180786.65127436537</v>
      </c>
      <c r="EK84" s="74">
        <f t="shared" si="51"/>
        <v>-237857.45127436519</v>
      </c>
      <c r="EM84" s="88">
        <f t="shared" si="52"/>
        <v>339</v>
      </c>
      <c r="EN84" s="74">
        <v>317</v>
      </c>
      <c r="EO84" s="74">
        <f t="shared" si="53"/>
        <v>22</v>
      </c>
      <c r="EP84" s="72">
        <v>329</v>
      </c>
      <c r="EQ84" s="74">
        <f t="shared" si="61"/>
        <v>12</v>
      </c>
      <c r="ER84" s="72">
        <v>315</v>
      </c>
      <c r="ES84" s="74">
        <f t="shared" si="62"/>
        <v>24</v>
      </c>
      <c r="ET84" s="74"/>
      <c r="EU84" s="74"/>
      <c r="EV84" s="74"/>
      <c r="EW84" s="89"/>
      <c r="EX84" s="81">
        <f t="shared" si="38"/>
        <v>3892651.7115039676</v>
      </c>
      <c r="EY84" s="81">
        <f t="shared" si="39"/>
        <v>388704.75969781837</v>
      </c>
    </row>
    <row r="85" spans="1:155" x14ac:dyDescent="0.25">
      <c r="A85" s="76">
        <v>302</v>
      </c>
      <c r="B85" s="76" t="s">
        <v>373</v>
      </c>
      <c r="C85" s="77" t="s">
        <v>150</v>
      </c>
      <c r="D85" s="41">
        <v>4</v>
      </c>
      <c r="E85" s="78">
        <v>495</v>
      </c>
      <c r="F85" s="78">
        <v>299.11128775834658</v>
      </c>
      <c r="G85" s="79">
        <v>173177.12015668923</v>
      </c>
      <c r="H85" s="79">
        <v>109114.27619794433</v>
      </c>
      <c r="I85" s="79">
        <v>182513.78620369601</v>
      </c>
      <c r="J85" s="79">
        <v>109114.27619794433</v>
      </c>
      <c r="K85" s="79">
        <v>0</v>
      </c>
      <c r="L85" s="79">
        <v>81577.320156689224</v>
      </c>
      <c r="M85" s="79">
        <v>59319.676384927567</v>
      </c>
      <c r="N85" s="79">
        <v>53562.391661913083</v>
      </c>
      <c r="O85" s="79">
        <v>0</v>
      </c>
      <c r="P85" s="79">
        <v>0</v>
      </c>
      <c r="Q85" s="79"/>
      <c r="R85" s="79">
        <v>69375.836746740591</v>
      </c>
      <c r="S85" s="79">
        <v>54629.386746740587</v>
      </c>
      <c r="T85" s="79">
        <v>97917.473493481171</v>
      </c>
      <c r="U85" s="79">
        <v>109114.27619794433</v>
      </c>
      <c r="V85" s="79">
        <v>109114.27619794433</v>
      </c>
      <c r="W85" s="79">
        <v>109114.27619794433</v>
      </c>
      <c r="X85" s="79">
        <v>109114.27619794433</v>
      </c>
      <c r="Y85" s="79">
        <f>218228.552395889-Z85</f>
        <v>163671.41429691686</v>
      </c>
      <c r="Z85" s="79">
        <f>0.5*Z$121</f>
        <v>54557.138098972166</v>
      </c>
      <c r="AA85" s="79">
        <v>327342.82859383302</v>
      </c>
      <c r="AB85" s="79">
        <v>103207.87915478271</v>
      </c>
      <c r="AC85" s="79">
        <v>0</v>
      </c>
      <c r="AD85" s="79">
        <v>0</v>
      </c>
      <c r="AE85" s="79">
        <v>327342.82859383302</v>
      </c>
      <c r="AF85" s="79">
        <v>103207.87915478271</v>
      </c>
      <c r="AG85" s="79">
        <v>327342.82859383302</v>
      </c>
      <c r="AH85" s="79">
        <v>103207.87915478271</v>
      </c>
      <c r="AI85" s="79">
        <v>327342.82859383302</v>
      </c>
      <c r="AJ85" s="79">
        <v>327342.82859383302</v>
      </c>
      <c r="AK85" s="79">
        <v>327342.82859383302</v>
      </c>
      <c r="AL85" s="79">
        <v>327342.82859383302</v>
      </c>
      <c r="AM85" s="79">
        <v>327342.82859383302</v>
      </c>
      <c r="AN85" s="79">
        <v>0</v>
      </c>
      <c r="AO85" s="79">
        <v>0</v>
      </c>
      <c r="AP85" s="79">
        <v>218228.55239588866</v>
      </c>
      <c r="AQ85" s="79">
        <v>0</v>
      </c>
      <c r="AR85" s="79">
        <v>0</v>
      </c>
      <c r="AS85" s="79">
        <v>0</v>
      </c>
      <c r="AT85" s="79">
        <v>0</v>
      </c>
      <c r="AU85" s="79">
        <v>0</v>
      </c>
      <c r="AV85" s="79"/>
      <c r="AW85" s="79">
        <v>0</v>
      </c>
      <c r="AX85" s="79">
        <v>109114.27619794433</v>
      </c>
      <c r="AY85" s="79">
        <v>109114.27619794433</v>
      </c>
      <c r="AZ85" s="79">
        <v>654685.65718766605</v>
      </c>
      <c r="BA85" s="79">
        <v>0</v>
      </c>
      <c r="BB85" s="79">
        <v>0</v>
      </c>
      <c r="BC85" s="79">
        <v>0</v>
      </c>
      <c r="BD85" s="79">
        <v>1418485.5905732764</v>
      </c>
      <c r="BE85" s="79">
        <v>0</v>
      </c>
      <c r="BF85" s="79">
        <v>218228.55239588866</v>
      </c>
      <c r="BG85" s="79">
        <f>41902-BL85</f>
        <v>11974</v>
      </c>
      <c r="BH85" s="79">
        <v>39284</v>
      </c>
      <c r="BI85" s="79">
        <v>6734</v>
      </c>
      <c r="BJ85" s="79"/>
      <c r="BK85" s="79">
        <v>0</v>
      </c>
      <c r="BL85" s="79">
        <v>29928</v>
      </c>
      <c r="BM85" s="79">
        <v>194788.13</v>
      </c>
      <c r="BN85" s="79">
        <v>3099.58</v>
      </c>
      <c r="BO85" s="79">
        <v>0</v>
      </c>
      <c r="BP85" s="79">
        <v>0</v>
      </c>
      <c r="BQ85" s="79">
        <v>0</v>
      </c>
      <c r="BR85" s="79">
        <v>0</v>
      </c>
      <c r="BS85" s="79">
        <v>0</v>
      </c>
      <c r="BT85" s="79">
        <v>0</v>
      </c>
      <c r="BU85" s="79">
        <v>0</v>
      </c>
      <c r="BV85" s="80">
        <v>0</v>
      </c>
      <c r="BW85" s="80">
        <v>0</v>
      </c>
      <c r="BX85" s="80">
        <v>0</v>
      </c>
      <c r="BY85" s="80">
        <v>0</v>
      </c>
      <c r="BZ85" s="80">
        <v>0</v>
      </c>
      <c r="CA85" s="80">
        <v>0</v>
      </c>
      <c r="CB85" s="80">
        <v>0</v>
      </c>
      <c r="CC85" s="80">
        <v>0</v>
      </c>
      <c r="CD85" s="79">
        <v>0</v>
      </c>
      <c r="CE85" s="79">
        <v>0</v>
      </c>
      <c r="CF85" s="79">
        <v>0</v>
      </c>
      <c r="CG85" s="79">
        <v>0</v>
      </c>
      <c r="CH85" s="79">
        <v>0</v>
      </c>
      <c r="CI85" s="79">
        <v>218228.55239588866</v>
      </c>
      <c r="CJ85" s="79">
        <v>0</v>
      </c>
      <c r="CK85" s="79">
        <v>23000</v>
      </c>
      <c r="CL85" s="79">
        <v>5000</v>
      </c>
      <c r="CM85" s="79">
        <v>114141.6</v>
      </c>
      <c r="CN85" s="79">
        <v>100000</v>
      </c>
      <c r="CO85" s="79">
        <v>0</v>
      </c>
      <c r="CP85" s="79">
        <v>0</v>
      </c>
      <c r="CQ85" s="79">
        <v>5982.2257551669318</v>
      </c>
      <c r="CR85" s="79">
        <v>0</v>
      </c>
      <c r="CS85" s="79">
        <v>26670.851219512195</v>
      </c>
      <c r="CT85" s="79"/>
      <c r="CU85" s="79">
        <v>0</v>
      </c>
      <c r="CV85" s="79"/>
      <c r="CW85" s="79">
        <v>0</v>
      </c>
      <c r="CX85" s="79">
        <v>0</v>
      </c>
      <c r="CY85" s="79">
        <v>0</v>
      </c>
      <c r="CZ85" s="79">
        <v>0</v>
      </c>
      <c r="DA85" s="79">
        <v>49500</v>
      </c>
      <c r="DB85" s="79">
        <v>122672.96668757245</v>
      </c>
      <c r="DC85" s="82">
        <v>0</v>
      </c>
      <c r="DD85" s="79">
        <v>0</v>
      </c>
      <c r="DE85" s="79"/>
      <c r="DF85" s="79">
        <v>38700</v>
      </c>
      <c r="DG85" s="79">
        <v>0</v>
      </c>
      <c r="DH85" s="83"/>
      <c r="DI85" s="79">
        <v>16749.321774456956</v>
      </c>
      <c r="DJ85" s="79">
        <v>8290914.2783561936</v>
      </c>
      <c r="DK85" s="84">
        <v>1.6438066959381104E-3</v>
      </c>
      <c r="DL85" s="84">
        <v>362934.92</v>
      </c>
      <c r="DM85" s="84">
        <f t="shared" si="54"/>
        <v>8653849.2000000011</v>
      </c>
      <c r="DN85" s="84">
        <f>'[7]FY20 Initial Budget Alloca FTE'!F85*DN$1</f>
        <v>656806.51233704295</v>
      </c>
      <c r="DO85" s="81">
        <f t="shared" si="40"/>
        <v>57992</v>
      </c>
      <c r="DP85" s="81">
        <f t="shared" si="55"/>
        <v>99239.363854139097</v>
      </c>
      <c r="DQ85" s="74">
        <f t="shared" si="56"/>
        <v>499575.14848290384</v>
      </c>
      <c r="DR85" s="85">
        <f t="shared" si="37"/>
        <v>0.76061235554032514</v>
      </c>
      <c r="DS85" s="81">
        <f t="shared" si="57"/>
        <v>4782522.1034664307</v>
      </c>
      <c r="DT85" s="81">
        <f t="shared" si="41"/>
        <v>872914.20958355465</v>
      </c>
      <c r="DU85" s="81">
        <f t="shared" si="42"/>
        <v>1636714.142969165</v>
      </c>
      <c r="DV85" s="81">
        <f t="shared" si="34"/>
        <v>227815.71</v>
      </c>
      <c r="DW85" s="81">
        <f t="shared" si="43"/>
        <v>0</v>
      </c>
      <c r="DX85" s="81">
        <f t="shared" si="44"/>
        <v>0</v>
      </c>
      <c r="DY85" s="81">
        <f t="shared" si="45"/>
        <v>0</v>
      </c>
      <c r="DZ85" s="81">
        <f t="shared" si="46"/>
        <v>114141.6</v>
      </c>
      <c r="EA85" s="74">
        <f t="shared" si="47"/>
        <v>499575.14848290384</v>
      </c>
      <c r="EB85" s="81">
        <f t="shared" si="48"/>
        <v>57992</v>
      </c>
      <c r="EC85" s="81">
        <f t="shared" si="48"/>
        <v>99239.363854139097</v>
      </c>
      <c r="ED85" s="86">
        <f t="shared" si="58"/>
        <v>0.76061235554032514</v>
      </c>
      <c r="EE85" s="81">
        <f t="shared" si="59"/>
        <v>656806.51233704295</v>
      </c>
      <c r="EF85" s="81">
        <f t="shared" si="60"/>
        <v>8290914.2783561926</v>
      </c>
      <c r="EG85" s="81">
        <f t="shared" si="49"/>
        <v>0</v>
      </c>
      <c r="EH85" s="81">
        <v>9084065.820645703</v>
      </c>
      <c r="EI85" s="84">
        <f t="shared" si="63"/>
        <v>8176772.6783561939</v>
      </c>
      <c r="EJ85" s="74">
        <f t="shared" si="50"/>
        <v>-793151.54228950944</v>
      </c>
      <c r="EK85" s="74">
        <f t="shared" si="51"/>
        <v>-907293.14228950907</v>
      </c>
      <c r="EM85" s="88">
        <f t="shared" si="52"/>
        <v>495</v>
      </c>
      <c r="EN85" s="74">
        <v>543</v>
      </c>
      <c r="EO85" s="74">
        <f t="shared" si="53"/>
        <v>-48</v>
      </c>
      <c r="EP85" s="72">
        <v>558</v>
      </c>
      <c r="EQ85" s="74">
        <f t="shared" si="61"/>
        <v>15</v>
      </c>
      <c r="ER85" s="72">
        <v>467</v>
      </c>
      <c r="ES85" s="74">
        <f t="shared" si="62"/>
        <v>28</v>
      </c>
      <c r="ET85" s="74"/>
      <c r="EU85" s="74"/>
      <c r="EV85" s="74"/>
      <c r="EW85" s="89"/>
      <c r="EX85" s="81">
        <f t="shared" si="38"/>
        <v>7577430.9246939421</v>
      </c>
      <c r="EY85" s="81">
        <f t="shared" si="39"/>
        <v>713483.35366225149</v>
      </c>
    </row>
    <row r="86" spans="1:155" x14ac:dyDescent="0.25">
      <c r="A86" s="76">
        <v>304</v>
      </c>
      <c r="B86" s="76" t="s">
        <v>225</v>
      </c>
      <c r="C86" s="77" t="s">
        <v>226</v>
      </c>
      <c r="D86" s="41">
        <v>7</v>
      </c>
      <c r="E86" s="78">
        <v>132</v>
      </c>
      <c r="F86" s="78">
        <v>68.615384615384613</v>
      </c>
      <c r="G86" s="79">
        <v>173177.12015668923</v>
      </c>
      <c r="H86" s="79">
        <v>109114.27619794433</v>
      </c>
      <c r="I86" s="79">
        <v>0</v>
      </c>
      <c r="J86" s="79">
        <v>0</v>
      </c>
      <c r="K86" s="79">
        <v>0</v>
      </c>
      <c r="L86" s="79">
        <v>40788.660078344612</v>
      </c>
      <c r="M86" s="79">
        <v>59319.676384927567</v>
      </c>
      <c r="N86" s="79">
        <v>0</v>
      </c>
      <c r="O86" s="79">
        <v>0</v>
      </c>
      <c r="P86" s="79">
        <v>0</v>
      </c>
      <c r="Q86" s="79"/>
      <c r="R86" s="79">
        <v>69375.836746740591</v>
      </c>
      <c r="S86" s="79">
        <v>54629.386746740587</v>
      </c>
      <c r="T86" s="79">
        <v>48958.736746740586</v>
      </c>
      <c r="U86" s="79">
        <v>54557.138098972166</v>
      </c>
      <c r="V86" s="79">
        <v>109114.27619794433</v>
      </c>
      <c r="W86" s="79">
        <v>109114.27619794433</v>
      </c>
      <c r="X86" s="79">
        <v>109114.27619794433</v>
      </c>
      <c r="Y86" s="79">
        <v>0</v>
      </c>
      <c r="Z86" s="79"/>
      <c r="AA86" s="79">
        <v>0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0</v>
      </c>
      <c r="AI86" s="79">
        <v>0</v>
      </c>
      <c r="AJ86" s="79">
        <v>0</v>
      </c>
      <c r="AK86" s="79">
        <v>0</v>
      </c>
      <c r="AL86" s="79">
        <v>0</v>
      </c>
      <c r="AM86" s="79">
        <v>0</v>
      </c>
      <c r="AN86" s="79">
        <v>0</v>
      </c>
      <c r="AO86" s="79">
        <v>0</v>
      </c>
      <c r="AP86" s="79">
        <v>0</v>
      </c>
      <c r="AQ86" s="79">
        <v>0</v>
      </c>
      <c r="AR86" s="79">
        <v>0</v>
      </c>
      <c r="AS86" s="79">
        <v>0</v>
      </c>
      <c r="AT86" s="79">
        <v>0</v>
      </c>
      <c r="AU86" s="79">
        <v>600128.51908869378</v>
      </c>
      <c r="AV86" s="79"/>
      <c r="AW86" s="79">
        <v>0</v>
      </c>
      <c r="AX86" s="79">
        <v>109114.27619794433</v>
      </c>
      <c r="AY86" s="79">
        <v>54557.138098972166</v>
      </c>
      <c r="AZ86" s="79">
        <v>2291399.8001568308</v>
      </c>
      <c r="BA86" s="79">
        <v>791260.40685333416</v>
      </c>
      <c r="BB86" s="79">
        <v>48063.47638492757</v>
      </c>
      <c r="BC86" s="79">
        <v>0</v>
      </c>
      <c r="BD86" s="79">
        <v>109114.27619794433</v>
      </c>
      <c r="BE86" s="79">
        <v>0</v>
      </c>
      <c r="BF86" s="79">
        <v>0</v>
      </c>
      <c r="BG86" s="79">
        <f>5986-5986</f>
        <v>0</v>
      </c>
      <c r="BH86" s="79">
        <f>5612-5612</f>
        <v>0</v>
      </c>
      <c r="BI86" s="79">
        <v>6734</v>
      </c>
      <c r="BJ86" s="79"/>
      <c r="BK86" s="79">
        <v>0</v>
      </c>
      <c r="BL86" s="79">
        <v>11597.1</v>
      </c>
      <c r="BM86" s="79">
        <v>65128.31</v>
      </c>
      <c r="BN86" s="79">
        <v>1036.3599999999999</v>
      </c>
      <c r="BO86" s="79">
        <v>0</v>
      </c>
      <c r="BP86" s="79">
        <v>0</v>
      </c>
      <c r="BQ86" s="79">
        <v>0</v>
      </c>
      <c r="BR86" s="79">
        <v>0</v>
      </c>
      <c r="BS86" s="79">
        <v>0</v>
      </c>
      <c r="BT86" s="79">
        <v>0</v>
      </c>
      <c r="BU86" s="79">
        <v>0</v>
      </c>
      <c r="BV86" s="80">
        <v>0</v>
      </c>
      <c r="BW86" s="80">
        <v>0</v>
      </c>
      <c r="BX86" s="80">
        <v>0</v>
      </c>
      <c r="BY86" s="80">
        <v>0</v>
      </c>
      <c r="BZ86" s="80">
        <v>0</v>
      </c>
      <c r="CA86" s="80">
        <v>0</v>
      </c>
      <c r="CB86" s="80">
        <v>0</v>
      </c>
      <c r="CC86" s="80">
        <v>0</v>
      </c>
      <c r="CD86" s="79">
        <v>0</v>
      </c>
      <c r="CE86" s="79">
        <v>0</v>
      </c>
      <c r="CF86" s="79">
        <v>0</v>
      </c>
      <c r="CG86" s="79">
        <v>0</v>
      </c>
      <c r="CH86" s="79">
        <v>0</v>
      </c>
      <c r="CI86" s="79">
        <v>218228.55239588866</v>
      </c>
      <c r="CJ86" s="79">
        <v>0</v>
      </c>
      <c r="CK86" s="79">
        <v>23000</v>
      </c>
      <c r="CL86" s="79">
        <v>5000</v>
      </c>
      <c r="CM86" s="79">
        <v>108165.6</v>
      </c>
      <c r="CN86" s="79">
        <v>100000</v>
      </c>
      <c r="CO86" s="79">
        <v>0</v>
      </c>
      <c r="CP86" s="79">
        <v>0</v>
      </c>
      <c r="CQ86" s="79">
        <v>1372.3076923076924</v>
      </c>
      <c r="CR86" s="79">
        <v>0</v>
      </c>
      <c r="CS86" s="79">
        <v>12794.02</v>
      </c>
      <c r="CT86" s="79"/>
      <c r="CU86" s="79">
        <v>0</v>
      </c>
      <c r="CV86" s="79"/>
      <c r="CW86" s="79">
        <v>0</v>
      </c>
      <c r="CX86" s="79">
        <v>0</v>
      </c>
      <c r="CY86" s="79">
        <v>0</v>
      </c>
      <c r="CZ86" s="79">
        <v>0</v>
      </c>
      <c r="DA86" s="79">
        <v>13200</v>
      </c>
      <c r="DB86" s="79">
        <v>84671.994692520049</v>
      </c>
      <c r="DC86" s="82">
        <v>0</v>
      </c>
      <c r="DD86" s="79">
        <v>0</v>
      </c>
      <c r="DE86" s="79"/>
      <c r="DF86" s="79">
        <v>12250</v>
      </c>
      <c r="DG86" s="79">
        <v>0</v>
      </c>
      <c r="DH86" s="83">
        <v>0</v>
      </c>
      <c r="DI86" s="79">
        <v>42455.156799320437</v>
      </c>
      <c r="DJ86" s="79">
        <v>5604080.6975102955</v>
      </c>
      <c r="DK86" s="84">
        <v>22822.302489704452</v>
      </c>
      <c r="DL86" s="84">
        <v>0</v>
      </c>
      <c r="DM86" s="84">
        <f t="shared" si="54"/>
        <v>5626903</v>
      </c>
      <c r="DN86" s="84">
        <f>'[7]FY20 Initial Budget Alloca FTE'!F86*DN$1</f>
        <v>150669.77846153846</v>
      </c>
      <c r="DO86" s="81">
        <f t="shared" si="40"/>
        <v>6734</v>
      </c>
      <c r="DP86" s="81">
        <f t="shared" si="55"/>
        <v>13622.307692307691</v>
      </c>
      <c r="DQ86" s="74">
        <f t="shared" si="56"/>
        <v>130313.47076923077</v>
      </c>
      <c r="DR86" s="85">
        <f t="shared" si="37"/>
        <v>0.86489455350527344</v>
      </c>
      <c r="DS86" s="81">
        <f t="shared" si="57"/>
        <v>1863973.2751588041</v>
      </c>
      <c r="DT86" s="81">
        <f t="shared" si="41"/>
        <v>3294395.0976920091</v>
      </c>
      <c r="DU86" s="81">
        <f t="shared" si="42"/>
        <v>109114.27619794433</v>
      </c>
      <c r="DV86" s="81">
        <f t="shared" si="34"/>
        <v>77761.77</v>
      </c>
      <c r="DW86" s="81">
        <f t="shared" si="43"/>
        <v>0</v>
      </c>
      <c r="DX86" s="81">
        <f t="shared" si="44"/>
        <v>0</v>
      </c>
      <c r="DY86" s="81">
        <f t="shared" si="45"/>
        <v>0</v>
      </c>
      <c r="DZ86" s="81">
        <f t="shared" si="46"/>
        <v>108165.6</v>
      </c>
      <c r="EA86" s="74">
        <f t="shared" si="47"/>
        <v>130313.47076923077</v>
      </c>
      <c r="EB86" s="81">
        <f t="shared" si="48"/>
        <v>6734</v>
      </c>
      <c r="EC86" s="81">
        <f t="shared" si="48"/>
        <v>13622.307692307691</v>
      </c>
      <c r="ED86" s="86">
        <f t="shared" si="58"/>
        <v>0.86489455350527344</v>
      </c>
      <c r="EE86" s="81">
        <f t="shared" si="59"/>
        <v>150669.77846153846</v>
      </c>
      <c r="EF86" s="81">
        <f t="shared" si="60"/>
        <v>5604079.7975102961</v>
      </c>
      <c r="EG86" s="81">
        <f t="shared" si="49"/>
        <v>0.89999999944120646</v>
      </c>
      <c r="EH86" s="81">
        <v>5332421.543361566</v>
      </c>
      <c r="EI86" s="84">
        <f t="shared" si="63"/>
        <v>5495915.0975102959</v>
      </c>
      <c r="EJ86" s="74">
        <f t="shared" si="50"/>
        <v>271659.15414872952</v>
      </c>
      <c r="EK86" s="74">
        <f t="shared" si="51"/>
        <v>163493.55414872989</v>
      </c>
      <c r="EM86" s="88">
        <f t="shared" si="52"/>
        <v>132</v>
      </c>
      <c r="EN86" s="74">
        <v>136</v>
      </c>
      <c r="EO86" s="74">
        <f t="shared" si="53"/>
        <v>-4</v>
      </c>
      <c r="EP86" s="72">
        <v>131</v>
      </c>
      <c r="EQ86" s="74">
        <f t="shared" si="61"/>
        <v>-5</v>
      </c>
      <c r="ER86" s="72">
        <v>137</v>
      </c>
      <c r="ES86" s="74">
        <f t="shared" si="62"/>
        <v>-5</v>
      </c>
      <c r="ET86" s="74"/>
      <c r="EU86" s="74"/>
      <c r="EV86" s="74"/>
      <c r="EW86" s="89"/>
      <c r="EX86" s="81">
        <f t="shared" si="38"/>
        <v>5165864.1051254682</v>
      </c>
      <c r="EY86" s="81">
        <f t="shared" si="39"/>
        <v>438215.69238482777</v>
      </c>
    </row>
    <row r="87" spans="1:155" ht="31.5" x14ac:dyDescent="0.25">
      <c r="A87" s="76">
        <v>436</v>
      </c>
      <c r="B87" s="76" t="s">
        <v>227</v>
      </c>
      <c r="C87" s="77" t="s">
        <v>138</v>
      </c>
      <c r="D87" s="41">
        <v>7</v>
      </c>
      <c r="E87" s="78">
        <v>322</v>
      </c>
      <c r="F87" s="78">
        <v>295.26363636363635</v>
      </c>
      <c r="G87" s="79">
        <v>173177.12015668923</v>
      </c>
      <c r="H87" s="79">
        <v>109114.27619794433</v>
      </c>
      <c r="I87" s="102">
        <v>154434.74217235818</v>
      </c>
      <c r="J87" s="79">
        <v>0</v>
      </c>
      <c r="K87" s="79">
        <v>178335.88891943885</v>
      </c>
      <c r="L87" s="102">
        <v>81577.320156689224</v>
      </c>
      <c r="M87" s="79">
        <v>59319.676384927567</v>
      </c>
      <c r="N87" s="102">
        <v>0</v>
      </c>
      <c r="O87" s="79">
        <v>50130.026384927565</v>
      </c>
      <c r="P87" s="79">
        <v>62573.586746740584</v>
      </c>
      <c r="Q87" s="79"/>
      <c r="R87" s="79">
        <v>69375.836746740591</v>
      </c>
      <c r="S87" s="79">
        <v>54629.386746740587</v>
      </c>
      <c r="T87" s="79">
        <v>195834.94698696234</v>
      </c>
      <c r="U87" s="79">
        <v>109114.27619794433</v>
      </c>
      <c r="V87" s="102">
        <v>0</v>
      </c>
      <c r="W87" s="102">
        <v>0</v>
      </c>
      <c r="X87" s="102">
        <v>0</v>
      </c>
      <c r="Y87" s="102">
        <v>0</v>
      </c>
      <c r="Z87" s="102"/>
      <c r="AA87" s="79">
        <v>0</v>
      </c>
      <c r="AB87" s="79">
        <v>0</v>
      </c>
      <c r="AC87" s="79">
        <v>0</v>
      </c>
      <c r="AD87" s="79">
        <v>0</v>
      </c>
      <c r="AE87" s="79">
        <v>0</v>
      </c>
      <c r="AF87" s="79">
        <v>0</v>
      </c>
      <c r="AG87" s="79">
        <v>0</v>
      </c>
      <c r="AH87" s="79">
        <v>0</v>
      </c>
      <c r="AI87" s="79">
        <v>0</v>
      </c>
      <c r="AJ87" s="79">
        <v>0</v>
      </c>
      <c r="AK87" s="79">
        <v>0</v>
      </c>
      <c r="AL87" s="79">
        <v>0</v>
      </c>
      <c r="AM87" s="79">
        <v>0</v>
      </c>
      <c r="AN87" s="79">
        <v>0</v>
      </c>
      <c r="AO87" s="79">
        <v>0</v>
      </c>
      <c r="AP87" s="79">
        <v>0</v>
      </c>
      <c r="AQ87" s="79">
        <v>0</v>
      </c>
      <c r="AR87" s="79">
        <v>0</v>
      </c>
      <c r="AS87" s="79">
        <v>0</v>
      </c>
      <c r="AT87" s="79">
        <v>0</v>
      </c>
      <c r="AU87" s="79">
        <v>0</v>
      </c>
      <c r="AV87" s="79">
        <f>E87/24*AV$121</f>
        <v>1463949.8723224197</v>
      </c>
      <c r="AW87" s="79">
        <f>2301157.74635478-AV87</f>
        <v>837207.8740323605</v>
      </c>
      <c r="AX87" s="79">
        <v>163671.41429691651</v>
      </c>
      <c r="AY87" s="79">
        <v>218228.55239588866</v>
      </c>
      <c r="AZ87" s="79">
        <v>982028.48578149895</v>
      </c>
      <c r="BA87" s="79">
        <v>0</v>
      </c>
      <c r="BB87" s="79">
        <v>0</v>
      </c>
      <c r="BC87" s="79">
        <v>0</v>
      </c>
      <c r="BD87" s="79">
        <v>109114.27619794433</v>
      </c>
      <c r="BE87" s="79">
        <v>0</v>
      </c>
      <c r="BF87" s="79">
        <v>0</v>
      </c>
      <c r="BG87" s="79">
        <v>0</v>
      </c>
      <c r="BH87" s="79">
        <v>0</v>
      </c>
      <c r="BI87" s="79">
        <v>0</v>
      </c>
      <c r="BJ87" s="79"/>
      <c r="BK87" s="79">
        <v>50000</v>
      </c>
      <c r="BL87" s="79"/>
      <c r="BM87" s="79">
        <v>99356.33</v>
      </c>
      <c r="BN87" s="79">
        <v>1581.02</v>
      </c>
      <c r="BO87" s="79">
        <v>0</v>
      </c>
      <c r="BP87" s="79">
        <v>0</v>
      </c>
      <c r="BQ87" s="79">
        <v>0</v>
      </c>
      <c r="BR87" s="79">
        <v>0</v>
      </c>
      <c r="BS87" s="79">
        <v>109114.27619794433</v>
      </c>
      <c r="BT87" s="79">
        <v>0</v>
      </c>
      <c r="BU87" s="79">
        <v>0</v>
      </c>
      <c r="BV87" s="80">
        <v>140395.22015668923</v>
      </c>
      <c r="BW87" s="80">
        <v>28720</v>
      </c>
      <c r="BX87" s="80">
        <v>20280</v>
      </c>
      <c r="BY87" s="80">
        <v>0</v>
      </c>
      <c r="BZ87" s="80">
        <v>0</v>
      </c>
      <c r="CA87" s="80">
        <v>0</v>
      </c>
      <c r="CB87" s="80">
        <v>0</v>
      </c>
      <c r="CC87" s="80">
        <v>23700</v>
      </c>
      <c r="CD87" s="79">
        <v>218228.55239588866</v>
      </c>
      <c r="CE87" s="79">
        <v>0</v>
      </c>
      <c r="CF87" s="79">
        <v>0</v>
      </c>
      <c r="CG87" s="79">
        <v>0</v>
      </c>
      <c r="CH87" s="79">
        <v>0</v>
      </c>
      <c r="CI87" s="79">
        <v>0</v>
      </c>
      <c r="CJ87" s="79">
        <v>0</v>
      </c>
      <c r="CK87" s="79">
        <v>0</v>
      </c>
      <c r="CL87" s="79">
        <v>0</v>
      </c>
      <c r="CM87" s="79">
        <v>362651.6</v>
      </c>
      <c r="CN87" s="79">
        <v>0</v>
      </c>
      <c r="CO87" s="79">
        <v>105202</v>
      </c>
      <c r="CP87" s="79">
        <v>0</v>
      </c>
      <c r="CQ87" s="79">
        <v>11810.545454545454</v>
      </c>
      <c r="CR87" s="79">
        <v>0</v>
      </c>
      <c r="CS87" s="79">
        <v>62364.100000000006</v>
      </c>
      <c r="CT87" s="79"/>
      <c r="CU87" s="79">
        <v>105202</v>
      </c>
      <c r="CV87" s="79"/>
      <c r="CW87" s="79">
        <v>0</v>
      </c>
      <c r="CX87" s="79">
        <v>0</v>
      </c>
      <c r="CY87" s="79">
        <v>0</v>
      </c>
      <c r="CZ87" s="79">
        <v>0</v>
      </c>
      <c r="DA87" s="79">
        <v>32200</v>
      </c>
      <c r="DB87" s="79">
        <v>86800.506943871456</v>
      </c>
      <c r="DC87" s="82">
        <v>0</v>
      </c>
      <c r="DD87" s="79">
        <v>0</v>
      </c>
      <c r="DE87" s="79"/>
      <c r="DF87" s="79">
        <v>20700</v>
      </c>
      <c r="DG87" s="79">
        <v>0</v>
      </c>
      <c r="DH87" s="83">
        <v>0</v>
      </c>
      <c r="DI87" s="79">
        <v>20341.99909929834</v>
      </c>
      <c r="DJ87" s="79">
        <v>6550123.7099740664</v>
      </c>
      <c r="DK87" s="84">
        <v>140395.29002593365</v>
      </c>
      <c r="DL87" s="84">
        <v>0</v>
      </c>
      <c r="DM87" s="84">
        <f t="shared" si="54"/>
        <v>6690519</v>
      </c>
      <c r="DN87" s="84">
        <f>'[7]FY20 Initial Budget Alloca FTE'!F87*DN$1</f>
        <v>648357.60854545457</v>
      </c>
      <c r="DO87" s="81">
        <f t="shared" si="40"/>
        <v>50000</v>
      </c>
      <c r="DP87" s="81">
        <f t="shared" si="55"/>
        <v>1297129.9158415394</v>
      </c>
      <c r="DQ87" s="74">
        <f t="shared" si="56"/>
        <v>-698772.30729608482</v>
      </c>
      <c r="DR87" s="85">
        <f t="shared" si="37"/>
        <v>-1.0777575493618903</v>
      </c>
      <c r="DS87" s="81">
        <f t="shared" si="57"/>
        <v>3965134.4227563678</v>
      </c>
      <c r="DT87" s="81">
        <f t="shared" si="41"/>
        <v>1363928.452474304</v>
      </c>
      <c r="DU87" s="81">
        <f t="shared" si="42"/>
        <v>109114.27619794433</v>
      </c>
      <c r="DV87" s="81">
        <f t="shared" si="34"/>
        <v>100937.35</v>
      </c>
      <c r="DW87" s="81">
        <f t="shared" si="43"/>
        <v>0</v>
      </c>
      <c r="DX87" s="81">
        <f t="shared" si="44"/>
        <v>0</v>
      </c>
      <c r="DY87" s="81">
        <f t="shared" si="45"/>
        <v>0</v>
      </c>
      <c r="DZ87" s="81">
        <f t="shared" si="46"/>
        <v>362651.6</v>
      </c>
      <c r="EA87" s="74">
        <f t="shared" si="47"/>
        <v>-698772.30729608482</v>
      </c>
      <c r="EB87" s="81">
        <f t="shared" si="48"/>
        <v>50000</v>
      </c>
      <c r="EC87" s="81">
        <f t="shared" si="48"/>
        <v>1297129.9158415394</v>
      </c>
      <c r="ED87" s="86">
        <v>0</v>
      </c>
      <c r="EE87" s="81">
        <f t="shared" si="59"/>
        <v>648357.60854545457</v>
      </c>
      <c r="EF87" s="81">
        <f t="shared" si="60"/>
        <v>6550123.7099740701</v>
      </c>
      <c r="EG87" s="81">
        <f t="shared" si="49"/>
        <v>0</v>
      </c>
      <c r="EH87" s="81">
        <v>5603597.2507390715</v>
      </c>
      <c r="EI87" s="84">
        <f t="shared" si="63"/>
        <v>6187472.1099740667</v>
      </c>
      <c r="EJ87" s="74">
        <f t="shared" si="50"/>
        <v>946526.45923499484</v>
      </c>
      <c r="EK87" s="74">
        <f t="shared" si="51"/>
        <v>583874.85923499521</v>
      </c>
      <c r="EM87" s="88">
        <f t="shared" si="52"/>
        <v>322</v>
      </c>
      <c r="EN87" s="74">
        <v>317</v>
      </c>
      <c r="EO87" s="74">
        <f t="shared" si="53"/>
        <v>5</v>
      </c>
      <c r="EP87" s="90">
        <v>261</v>
      </c>
      <c r="EQ87" s="74">
        <f t="shared" si="61"/>
        <v>-56</v>
      </c>
      <c r="ER87" s="72">
        <v>416</v>
      </c>
      <c r="ES87" s="74">
        <f t="shared" si="62"/>
        <v>-94</v>
      </c>
      <c r="ET87" s="74"/>
      <c r="EU87" s="74"/>
      <c r="EV87" s="74"/>
      <c r="EW87" s="89"/>
      <c r="EX87" s="81">
        <f t="shared" si="38"/>
        <v>5749959.607575655</v>
      </c>
      <c r="EY87" s="81">
        <f t="shared" si="39"/>
        <v>800164.10239841684</v>
      </c>
    </row>
    <row r="88" spans="1:155" x14ac:dyDescent="0.25">
      <c r="A88" s="76">
        <v>459</v>
      </c>
      <c r="B88" s="76" t="s">
        <v>228</v>
      </c>
      <c r="C88" s="77" t="s">
        <v>138</v>
      </c>
      <c r="D88" s="41">
        <v>4</v>
      </c>
      <c r="E88" s="78">
        <v>681</v>
      </c>
      <c r="F88" s="78">
        <v>588.14222873900303</v>
      </c>
      <c r="G88" s="79">
        <v>173177.12015668923</v>
      </c>
      <c r="H88" s="79">
        <v>109114.27619794433</v>
      </c>
      <c r="I88" s="79">
        <v>322909.00636038522</v>
      </c>
      <c r="J88" s="79">
        <v>0</v>
      </c>
      <c r="K88" s="79">
        <v>356671.77783887769</v>
      </c>
      <c r="L88" s="79">
        <v>81577.320156689224</v>
      </c>
      <c r="M88" s="79">
        <v>59319.676384927567</v>
      </c>
      <c r="N88" s="79">
        <v>75880.054854376867</v>
      </c>
      <c r="O88" s="79">
        <v>50130.026384927565</v>
      </c>
      <c r="P88" s="79">
        <v>62573.586746740584</v>
      </c>
      <c r="Q88" s="79"/>
      <c r="R88" s="79">
        <v>69375.836746740591</v>
      </c>
      <c r="S88" s="79">
        <v>54629.386746740587</v>
      </c>
      <c r="T88" s="79">
        <v>391669.89397392469</v>
      </c>
      <c r="U88" s="79">
        <v>109114.27619794433</v>
      </c>
      <c r="V88" s="79">
        <v>0</v>
      </c>
      <c r="W88" s="79">
        <v>0</v>
      </c>
      <c r="X88" s="79">
        <v>0</v>
      </c>
      <c r="Y88" s="79">
        <v>0</v>
      </c>
      <c r="Z88" s="79"/>
      <c r="AA88" s="79">
        <v>0</v>
      </c>
      <c r="AB88" s="79">
        <v>0</v>
      </c>
      <c r="AC88" s="79">
        <v>0</v>
      </c>
      <c r="AD88" s="79">
        <v>0</v>
      </c>
      <c r="AE88" s="79">
        <v>0</v>
      </c>
      <c r="AF88" s="79">
        <v>0</v>
      </c>
      <c r="AG88" s="79">
        <v>0</v>
      </c>
      <c r="AH88" s="79">
        <v>0</v>
      </c>
      <c r="AI88" s="79">
        <v>0</v>
      </c>
      <c r="AJ88" s="79">
        <v>0</v>
      </c>
      <c r="AK88" s="79">
        <v>0</v>
      </c>
      <c r="AL88" s="79">
        <v>0</v>
      </c>
      <c r="AM88" s="79">
        <v>0</v>
      </c>
      <c r="AN88" s="79">
        <v>0</v>
      </c>
      <c r="AO88" s="79">
        <v>0</v>
      </c>
      <c r="AP88" s="79">
        <v>0</v>
      </c>
      <c r="AQ88" s="79">
        <v>0</v>
      </c>
      <c r="AR88" s="79">
        <v>0</v>
      </c>
      <c r="AS88" s="79">
        <v>0</v>
      </c>
      <c r="AT88" s="79">
        <v>0</v>
      </c>
      <c r="AU88" s="79">
        <v>0</v>
      </c>
      <c r="AV88" s="79">
        <f>E88/24*AV$121</f>
        <v>3096117.5871166703</v>
      </c>
      <c r="AW88" s="79">
        <f>3699924.123126-AV88</f>
        <v>603806.53600932984</v>
      </c>
      <c r="AX88" s="79">
        <v>109114.27619794433</v>
      </c>
      <c r="AY88" s="79">
        <v>436457.10479177732</v>
      </c>
      <c r="AZ88" s="79">
        <v>1636714.142969165</v>
      </c>
      <c r="BA88" s="79">
        <v>275221.01107942057</v>
      </c>
      <c r="BB88" s="79">
        <v>96126.952769855139</v>
      </c>
      <c r="BC88" s="79">
        <v>0</v>
      </c>
      <c r="BD88" s="79">
        <v>1418485.5905732764</v>
      </c>
      <c r="BE88" s="79">
        <v>34402.626384927571</v>
      </c>
      <c r="BF88" s="79">
        <v>237781.18522591845</v>
      </c>
      <c r="BG88" s="79">
        <v>0</v>
      </c>
      <c r="BH88" s="79">
        <v>0</v>
      </c>
      <c r="BI88" s="79">
        <v>0</v>
      </c>
      <c r="BJ88" s="79"/>
      <c r="BK88" s="79">
        <v>85000</v>
      </c>
      <c r="BL88" s="79"/>
      <c r="BM88" s="79">
        <v>228189.82</v>
      </c>
      <c r="BN88" s="79">
        <v>3631.09</v>
      </c>
      <c r="BO88" s="79">
        <v>0</v>
      </c>
      <c r="BP88" s="79">
        <v>0</v>
      </c>
      <c r="BQ88" s="79">
        <v>0</v>
      </c>
      <c r="BR88" s="79">
        <v>0</v>
      </c>
      <c r="BS88" s="79">
        <v>0</v>
      </c>
      <c r="BT88" s="79">
        <v>0</v>
      </c>
      <c r="BU88" s="79">
        <v>0</v>
      </c>
      <c r="BV88" s="80">
        <v>140395.22015668923</v>
      </c>
      <c r="BW88" s="80">
        <v>20000</v>
      </c>
      <c r="BX88" s="80">
        <v>29000</v>
      </c>
      <c r="BY88" s="80">
        <v>0</v>
      </c>
      <c r="BZ88" s="80">
        <v>0</v>
      </c>
      <c r="CA88" s="80">
        <v>0</v>
      </c>
      <c r="CB88" s="80">
        <v>0</v>
      </c>
      <c r="CC88" s="80">
        <v>23700</v>
      </c>
      <c r="CD88" s="79">
        <v>218228.55239588866</v>
      </c>
      <c r="CE88" s="79">
        <v>0</v>
      </c>
      <c r="CF88" s="79">
        <v>0</v>
      </c>
      <c r="CG88" s="79">
        <v>0</v>
      </c>
      <c r="CH88" s="79">
        <v>109114.27619794433</v>
      </c>
      <c r="CI88" s="79">
        <v>0</v>
      </c>
      <c r="CJ88" s="79">
        <v>0</v>
      </c>
      <c r="CK88" s="79">
        <v>0</v>
      </c>
      <c r="CL88" s="79">
        <v>0</v>
      </c>
      <c r="CM88" s="79">
        <v>657699.69999999995</v>
      </c>
      <c r="CN88" s="79">
        <v>0</v>
      </c>
      <c r="CO88" s="79">
        <v>105202</v>
      </c>
      <c r="CP88" s="79">
        <v>75000</v>
      </c>
      <c r="CQ88" s="79">
        <v>23525.689149560123</v>
      </c>
      <c r="CR88" s="79">
        <v>0</v>
      </c>
      <c r="CS88" s="79">
        <v>94940.097572815532</v>
      </c>
      <c r="CT88" s="79"/>
      <c r="CU88" s="79">
        <v>105202</v>
      </c>
      <c r="CV88" s="79"/>
      <c r="CW88" s="79">
        <v>0</v>
      </c>
      <c r="CX88" s="79">
        <v>105202</v>
      </c>
      <c r="CY88" s="79">
        <v>5000</v>
      </c>
      <c r="CZ88" s="79">
        <v>115407</v>
      </c>
      <c r="DA88" s="79">
        <v>68100</v>
      </c>
      <c r="DB88" s="79">
        <v>163896.18920181645</v>
      </c>
      <c r="DC88" s="82">
        <v>0</v>
      </c>
      <c r="DD88" s="79">
        <v>0</v>
      </c>
      <c r="DE88" s="79"/>
      <c r="DF88" s="79">
        <v>46200</v>
      </c>
      <c r="DG88" s="79">
        <v>0</v>
      </c>
      <c r="DH88" s="83">
        <v>0</v>
      </c>
      <c r="DI88" s="79">
        <v>18045.955374951485</v>
      </c>
      <c r="DJ88" s="79">
        <v>12283002.886539903</v>
      </c>
      <c r="DK88" s="84">
        <v>16997.113460097462</v>
      </c>
      <c r="DL88" s="84">
        <v>0</v>
      </c>
      <c r="DM88" s="84">
        <f t="shared" si="54"/>
        <v>12300000</v>
      </c>
      <c r="DN88" s="84">
        <f>'[7]FY20 Initial Budget Alloca FTE'!F88*DN$1</f>
        <v>1291477.9943988272</v>
      </c>
      <c r="DO88" s="81">
        <f t="shared" si="40"/>
        <v>85000</v>
      </c>
      <c r="DP88" s="81">
        <f t="shared" si="55"/>
        <v>1066829.4453155792</v>
      </c>
      <c r="DQ88" s="74">
        <f t="shared" si="56"/>
        <v>139648.54908324801</v>
      </c>
      <c r="DR88" s="85">
        <f t="shared" si="37"/>
        <v>0.10813080028378905</v>
      </c>
      <c r="DS88" s="81">
        <f t="shared" si="57"/>
        <v>5857701.3921487965</v>
      </c>
      <c r="DT88" s="81">
        <f t="shared" si="41"/>
        <v>2553633.4878081623</v>
      </c>
      <c r="DU88" s="81">
        <f t="shared" si="42"/>
        <v>1690669.4021841225</v>
      </c>
      <c r="DV88" s="81">
        <f t="shared" si="34"/>
        <v>231820.91</v>
      </c>
      <c r="DW88" s="81">
        <f t="shared" si="43"/>
        <v>0</v>
      </c>
      <c r="DX88" s="81">
        <f t="shared" si="44"/>
        <v>0</v>
      </c>
      <c r="DY88" s="81">
        <f t="shared" si="45"/>
        <v>0</v>
      </c>
      <c r="DZ88" s="81">
        <f t="shared" si="46"/>
        <v>657699.69999999995</v>
      </c>
      <c r="EA88" s="74">
        <f t="shared" si="47"/>
        <v>139648.54908324801</v>
      </c>
      <c r="EB88" s="81">
        <f t="shared" si="48"/>
        <v>85000</v>
      </c>
      <c r="EC88" s="81">
        <f t="shared" si="48"/>
        <v>1066829.4453155792</v>
      </c>
      <c r="ED88" s="86">
        <f t="shared" si="58"/>
        <v>0.10813080028378905</v>
      </c>
      <c r="EE88" s="81">
        <f t="shared" si="59"/>
        <v>1291477.9943988272</v>
      </c>
      <c r="EF88" s="81">
        <f t="shared" si="60"/>
        <v>12283002.886539908</v>
      </c>
      <c r="EG88" s="81">
        <f t="shared" si="49"/>
        <v>0</v>
      </c>
      <c r="EH88" s="81">
        <v>11078686.603944717</v>
      </c>
      <c r="EI88" s="84">
        <f t="shared" si="63"/>
        <v>11625303.186539903</v>
      </c>
      <c r="EJ88" s="74">
        <f t="shared" si="50"/>
        <v>1204316.2825951856</v>
      </c>
      <c r="EK88" s="74">
        <f t="shared" si="51"/>
        <v>546616.58259518631</v>
      </c>
      <c r="EM88" s="88">
        <f t="shared" si="52"/>
        <v>681</v>
      </c>
      <c r="EN88" s="74">
        <v>686</v>
      </c>
      <c r="EO88" s="74">
        <f t="shared" si="53"/>
        <v>-5</v>
      </c>
      <c r="EP88" s="72">
        <v>645</v>
      </c>
      <c r="EQ88" s="74">
        <f t="shared" si="61"/>
        <v>-41</v>
      </c>
      <c r="ER88" s="72">
        <v>968</v>
      </c>
      <c r="ES88" s="74">
        <f t="shared" si="62"/>
        <v>-287</v>
      </c>
      <c r="ET88" s="74"/>
      <c r="EU88" s="74"/>
      <c r="EV88" s="74"/>
      <c r="EW88" s="89"/>
      <c r="EX88" s="81">
        <f t="shared" si="38"/>
        <v>10643713.300615719</v>
      </c>
      <c r="EY88" s="81">
        <f t="shared" si="39"/>
        <v>1639289.5859241921</v>
      </c>
    </row>
    <row r="89" spans="1:155" x14ac:dyDescent="0.25">
      <c r="A89" s="76">
        <v>456</v>
      </c>
      <c r="B89" s="76" t="s">
        <v>229</v>
      </c>
      <c r="C89" s="77" t="s">
        <v>141</v>
      </c>
      <c r="D89" s="41">
        <v>4</v>
      </c>
      <c r="E89" s="78">
        <v>631</v>
      </c>
      <c r="F89" s="78">
        <v>0</v>
      </c>
      <c r="G89" s="79">
        <v>173177.12015668923</v>
      </c>
      <c r="H89" s="79">
        <v>109114.27619794433</v>
      </c>
      <c r="I89" s="79">
        <v>140395.22015668923</v>
      </c>
      <c r="J89" s="79">
        <v>0</v>
      </c>
      <c r="K89" s="79">
        <v>273329.47241719323</v>
      </c>
      <c r="L89" s="79">
        <v>0</v>
      </c>
      <c r="M89" s="79">
        <v>59319.676384927567</v>
      </c>
      <c r="N89" s="79">
        <v>71416.522215884106</v>
      </c>
      <c r="O89" s="79">
        <v>50130.026384927565</v>
      </c>
      <c r="P89" s="79">
        <v>62573.586746740584</v>
      </c>
      <c r="Q89" s="79"/>
      <c r="R89" s="79">
        <v>69375.836746740591</v>
      </c>
      <c r="S89" s="79">
        <v>54629.386746740587</v>
      </c>
      <c r="T89" s="79">
        <v>48958.736746740586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/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0</v>
      </c>
      <c r="AM89" s="79">
        <v>0</v>
      </c>
      <c r="AN89" s="79">
        <v>0</v>
      </c>
      <c r="AO89" s="79">
        <v>0</v>
      </c>
      <c r="AP89" s="79">
        <v>0</v>
      </c>
      <c r="AQ89" s="79">
        <v>0</v>
      </c>
      <c r="AR89" s="79">
        <v>0</v>
      </c>
      <c r="AS89" s="79">
        <v>0</v>
      </c>
      <c r="AT89" s="79">
        <v>0</v>
      </c>
      <c r="AU89" s="79">
        <v>0</v>
      </c>
      <c r="AV89" s="79">
        <v>2596010.4878760925</v>
      </c>
      <c r="AX89" s="79">
        <v>109114.27619794433</v>
      </c>
      <c r="AY89" s="79">
        <v>218228.55239588866</v>
      </c>
      <c r="AZ89" s="79">
        <v>763799.93338561035</v>
      </c>
      <c r="BA89" s="79">
        <v>0</v>
      </c>
      <c r="BB89" s="79">
        <v>0</v>
      </c>
      <c r="BC89" s="79">
        <v>0</v>
      </c>
      <c r="BD89" s="79">
        <v>982028.48578149895</v>
      </c>
      <c r="BE89" s="79">
        <v>0</v>
      </c>
      <c r="BF89" s="79">
        <v>218228.55239588866</v>
      </c>
      <c r="BG89" s="79">
        <v>0</v>
      </c>
      <c r="BH89" s="79">
        <v>0</v>
      </c>
      <c r="BI89" s="79">
        <v>0</v>
      </c>
      <c r="BJ89" s="79">
        <v>70000</v>
      </c>
      <c r="BK89" s="79">
        <v>0</v>
      </c>
      <c r="BL89" s="79"/>
      <c r="BM89" s="79">
        <v>0</v>
      </c>
      <c r="BN89" s="79">
        <v>0</v>
      </c>
      <c r="BO89" s="79">
        <v>12875</v>
      </c>
      <c r="BP89" s="79">
        <v>0</v>
      </c>
      <c r="BQ89" s="79">
        <v>0</v>
      </c>
      <c r="BR89" s="79">
        <v>0</v>
      </c>
      <c r="BS89" s="79">
        <v>0</v>
      </c>
      <c r="BT89" s="79">
        <v>0</v>
      </c>
      <c r="BU89" s="79">
        <v>0</v>
      </c>
      <c r="BV89" s="80">
        <v>0</v>
      </c>
      <c r="BW89" s="80">
        <v>0</v>
      </c>
      <c r="BX89" s="80">
        <v>0</v>
      </c>
      <c r="BY89" s="80">
        <v>0</v>
      </c>
      <c r="BZ89" s="80">
        <v>0</v>
      </c>
      <c r="CA89" s="80">
        <v>0</v>
      </c>
      <c r="CB89" s="80">
        <v>0</v>
      </c>
      <c r="CC89" s="80">
        <v>0</v>
      </c>
      <c r="CD89" s="79">
        <v>0</v>
      </c>
      <c r="CE89" s="79">
        <v>0</v>
      </c>
      <c r="CF89" s="79">
        <v>0</v>
      </c>
      <c r="CG89" s="79">
        <v>0</v>
      </c>
      <c r="CH89" s="79">
        <v>0</v>
      </c>
      <c r="CI89" s="79">
        <v>0</v>
      </c>
      <c r="CJ89" s="79">
        <v>0</v>
      </c>
      <c r="CK89" s="79">
        <v>0</v>
      </c>
      <c r="CL89" s="79">
        <v>0</v>
      </c>
      <c r="CM89" s="79">
        <v>311349.09999999998</v>
      </c>
      <c r="CN89" s="79">
        <v>0</v>
      </c>
      <c r="CO89" s="79">
        <v>0</v>
      </c>
      <c r="CP89" s="79">
        <v>0</v>
      </c>
      <c r="CQ89" s="79">
        <v>0</v>
      </c>
      <c r="CR89" s="79">
        <v>0</v>
      </c>
      <c r="CS89" s="79">
        <v>77973.17857142858</v>
      </c>
      <c r="CT89" s="79">
        <v>105202</v>
      </c>
      <c r="CV89" s="95">
        <v>150000</v>
      </c>
      <c r="CX89" s="79">
        <v>0</v>
      </c>
      <c r="CY89" s="79">
        <v>0</v>
      </c>
      <c r="CZ89" s="79">
        <v>0</v>
      </c>
      <c r="DA89" s="79">
        <v>63100</v>
      </c>
      <c r="DB89" s="79">
        <v>98291.017597839658</v>
      </c>
      <c r="DC89" s="82">
        <v>0</v>
      </c>
      <c r="DD89" s="79">
        <v>0</v>
      </c>
      <c r="DE89" s="79">
        <v>4250</v>
      </c>
      <c r="DG89" s="79">
        <v>0</v>
      </c>
      <c r="DH89" s="83">
        <v>0</v>
      </c>
      <c r="DI89" s="79">
        <v>10923.7249526203</v>
      </c>
      <c r="DJ89" s="79">
        <v>6892870.4451034078</v>
      </c>
      <c r="DK89" s="84">
        <v>4.8965923488140106E-3</v>
      </c>
      <c r="DL89" s="84">
        <v>0</v>
      </c>
      <c r="DM89" s="84">
        <f t="shared" si="54"/>
        <v>6892870.4500000002</v>
      </c>
      <c r="DN89" s="84">
        <f>'[7]FY20 Initial Budget Alloca FTE'!F89*DN$1</f>
        <v>0</v>
      </c>
      <c r="DO89" s="81">
        <f t="shared" si="40"/>
        <v>0</v>
      </c>
      <c r="DP89" s="81">
        <f t="shared" si="55"/>
        <v>0</v>
      </c>
      <c r="DQ89" s="74">
        <f t="shared" si="56"/>
        <v>0</v>
      </c>
      <c r="DR89" s="85"/>
      <c r="DS89" s="81">
        <f t="shared" si="57"/>
        <v>4277246.5449465783</v>
      </c>
      <c r="DT89" s="81">
        <f t="shared" si="41"/>
        <v>1091142.7619794435</v>
      </c>
      <c r="DU89" s="81">
        <f t="shared" si="42"/>
        <v>1200257.0381773876</v>
      </c>
      <c r="DV89" s="81">
        <f t="shared" si="34"/>
        <v>12875</v>
      </c>
      <c r="DW89" s="81">
        <f t="shared" si="43"/>
        <v>0</v>
      </c>
      <c r="DX89" s="81">
        <f t="shared" si="44"/>
        <v>0</v>
      </c>
      <c r="DY89" s="81">
        <f t="shared" si="45"/>
        <v>0</v>
      </c>
      <c r="DZ89" s="81">
        <f t="shared" si="46"/>
        <v>311349.09999999998</v>
      </c>
      <c r="EA89" s="74">
        <f t="shared" si="47"/>
        <v>0</v>
      </c>
      <c r="EB89" s="81">
        <f t="shared" si="48"/>
        <v>0</v>
      </c>
      <c r="EC89" s="81">
        <f t="shared" si="48"/>
        <v>0</v>
      </c>
      <c r="ED89" s="86" t="s">
        <v>142</v>
      </c>
      <c r="EE89" s="81">
        <f t="shared" si="59"/>
        <v>0</v>
      </c>
      <c r="EF89" s="81">
        <f t="shared" si="60"/>
        <v>6892870.4451034088</v>
      </c>
      <c r="EG89" s="81">
        <f t="shared" si="49"/>
        <v>0</v>
      </c>
      <c r="EH89" s="81">
        <v>5049108.0199835254</v>
      </c>
      <c r="EI89" s="84">
        <f t="shared" si="63"/>
        <v>6581521.3451034082</v>
      </c>
      <c r="EJ89" s="74">
        <f t="shared" si="50"/>
        <v>1843762.4251198824</v>
      </c>
      <c r="EK89" s="74">
        <f t="shared" si="51"/>
        <v>1532413.3251198828</v>
      </c>
      <c r="EM89" s="88">
        <f t="shared" si="52"/>
        <v>631</v>
      </c>
      <c r="EN89" s="74">
        <v>510</v>
      </c>
      <c r="EO89" s="74">
        <f t="shared" si="53"/>
        <v>121</v>
      </c>
      <c r="EP89" s="94">
        <v>648</v>
      </c>
      <c r="EQ89" s="74">
        <f t="shared" si="61"/>
        <v>138</v>
      </c>
      <c r="ER89" s="72">
        <v>529</v>
      </c>
      <c r="ES89" s="74">
        <f t="shared" si="62"/>
        <v>102</v>
      </c>
      <c r="ET89" s="74"/>
      <c r="EU89" s="74"/>
      <c r="EV89" s="74"/>
      <c r="EW89" s="89"/>
      <c r="EX89" s="81">
        <f>SUM(G89:BI89,BP89:BV89,CA89:CB89,CD89:CI89,CO89,CT89,CX89)</f>
        <v>6105032.1489341408</v>
      </c>
      <c r="EY89" s="81">
        <f>SUM(BK89:BO89,BW89:BZ89,CC89,CK89:CN89,CP89:CS89,CV89,CY89:DH89)</f>
        <v>717838.2961692682</v>
      </c>
    </row>
    <row r="90" spans="1:155" x14ac:dyDescent="0.25">
      <c r="A90" s="76">
        <v>305</v>
      </c>
      <c r="B90" s="76" t="s">
        <v>230</v>
      </c>
      <c r="C90" s="77" t="s">
        <v>135</v>
      </c>
      <c r="D90" s="41">
        <v>2</v>
      </c>
      <c r="E90" s="78">
        <v>181</v>
      </c>
      <c r="F90" s="78">
        <v>11.323699421965319</v>
      </c>
      <c r="G90" s="79">
        <v>173177.12015668923</v>
      </c>
      <c r="H90" s="79">
        <v>109114.27619794433</v>
      </c>
      <c r="I90" s="79">
        <v>0</v>
      </c>
      <c r="J90" s="79">
        <v>0</v>
      </c>
      <c r="K90" s="79">
        <v>0</v>
      </c>
      <c r="L90" s="79">
        <v>40788.660078344612</v>
      </c>
      <c r="M90" s="79">
        <v>59319.676384927567</v>
      </c>
      <c r="N90" s="79">
        <v>0</v>
      </c>
      <c r="O90" s="79">
        <v>0</v>
      </c>
      <c r="P90" s="79">
        <v>0</v>
      </c>
      <c r="Q90" s="79"/>
      <c r="R90" s="79">
        <v>69375.836746740591</v>
      </c>
      <c r="S90" s="79">
        <v>54629.386746740587</v>
      </c>
      <c r="T90" s="79">
        <v>48958.736746740586</v>
      </c>
      <c r="U90" s="79">
        <v>54557.138098972166</v>
      </c>
      <c r="V90" s="79">
        <v>109114.27619794433</v>
      </c>
      <c r="W90" s="79">
        <v>109114.27619794433</v>
      </c>
      <c r="X90" s="79">
        <v>109114.27619794433</v>
      </c>
      <c r="Y90" s="79">
        <f>109114.276197944-Z90</f>
        <v>-3.3469405025243759E-10</v>
      </c>
      <c r="Z90" s="79">
        <f>1*Z$121</f>
        <v>109114.27619794433</v>
      </c>
      <c r="AA90" s="79">
        <v>0</v>
      </c>
      <c r="AB90" s="79">
        <v>0</v>
      </c>
      <c r="AC90" s="79">
        <v>0</v>
      </c>
      <c r="AD90" s="79">
        <v>0</v>
      </c>
      <c r="AE90" s="79">
        <v>109114.27619794433</v>
      </c>
      <c r="AF90" s="79">
        <v>34402.626384927571</v>
      </c>
      <c r="AG90" s="79">
        <v>218228.55239588866</v>
      </c>
      <c r="AH90" s="79">
        <v>68805.252769855142</v>
      </c>
      <c r="AI90" s="79">
        <v>218228.55239588866</v>
      </c>
      <c r="AJ90" s="79">
        <v>218228.55239588866</v>
      </c>
      <c r="AK90" s="79">
        <v>218228.55239588866</v>
      </c>
      <c r="AL90" s="79">
        <v>109114.27619794433</v>
      </c>
      <c r="AM90" s="79">
        <v>109114.27619794433</v>
      </c>
      <c r="AN90" s="79">
        <v>0</v>
      </c>
      <c r="AO90" s="79">
        <v>0</v>
      </c>
      <c r="AP90" s="79">
        <v>0</v>
      </c>
      <c r="AQ90" s="79">
        <v>0</v>
      </c>
      <c r="AR90" s="79">
        <v>0</v>
      </c>
      <c r="AS90" s="79">
        <v>0</v>
      </c>
      <c r="AT90" s="79">
        <v>0</v>
      </c>
      <c r="AU90" s="79">
        <v>0</v>
      </c>
      <c r="AV90" s="79"/>
      <c r="AW90" s="79">
        <v>0</v>
      </c>
      <c r="AX90" s="79">
        <v>54557.138098972166</v>
      </c>
      <c r="AY90" s="79">
        <v>54557.138098972166</v>
      </c>
      <c r="AZ90" s="79">
        <v>109114.27619794433</v>
      </c>
      <c r="BA90" s="79">
        <v>0</v>
      </c>
      <c r="BB90" s="79">
        <v>0</v>
      </c>
      <c r="BC90" s="79">
        <v>0</v>
      </c>
      <c r="BD90" s="79">
        <v>218228.55239588866</v>
      </c>
      <c r="BE90" s="79">
        <v>0</v>
      </c>
      <c r="BF90" s="79">
        <v>0</v>
      </c>
      <c r="BG90" s="79">
        <v>0</v>
      </c>
      <c r="BH90" s="79">
        <v>0</v>
      </c>
      <c r="BI90" s="79">
        <v>0</v>
      </c>
      <c r="BJ90" s="79"/>
      <c r="BK90" s="79">
        <v>0</v>
      </c>
      <c r="BL90" s="79"/>
      <c r="BM90" s="79">
        <v>0</v>
      </c>
      <c r="BN90" s="79">
        <v>0</v>
      </c>
      <c r="BO90" s="79">
        <v>4350</v>
      </c>
      <c r="BP90" s="79">
        <v>0</v>
      </c>
      <c r="BQ90" s="79">
        <v>0</v>
      </c>
      <c r="BR90" s="79">
        <v>0</v>
      </c>
      <c r="BS90" s="79">
        <v>0</v>
      </c>
      <c r="BT90" s="79">
        <v>0</v>
      </c>
      <c r="BU90" s="79">
        <v>0</v>
      </c>
      <c r="BV90" s="80">
        <v>0</v>
      </c>
      <c r="BW90" s="80">
        <v>0</v>
      </c>
      <c r="BX90" s="80">
        <v>0</v>
      </c>
      <c r="BY90" s="80">
        <v>0</v>
      </c>
      <c r="BZ90" s="80">
        <v>0</v>
      </c>
      <c r="CA90" s="80">
        <v>0</v>
      </c>
      <c r="CB90" s="80">
        <v>0</v>
      </c>
      <c r="CC90" s="80">
        <v>0</v>
      </c>
      <c r="CD90" s="79">
        <v>0</v>
      </c>
      <c r="CE90" s="79">
        <v>0</v>
      </c>
      <c r="CF90" s="79">
        <v>0</v>
      </c>
      <c r="CG90" s="79">
        <v>0</v>
      </c>
      <c r="CH90" s="79">
        <v>0</v>
      </c>
      <c r="CI90" s="79">
        <v>0</v>
      </c>
      <c r="CJ90" s="79">
        <v>0</v>
      </c>
      <c r="CK90" s="79">
        <v>0</v>
      </c>
      <c r="CL90" s="79">
        <v>0</v>
      </c>
      <c r="CM90" s="79">
        <v>54082.8</v>
      </c>
      <c r="CN90" s="79">
        <v>0</v>
      </c>
      <c r="CO90" s="79">
        <v>0</v>
      </c>
      <c r="CP90" s="79">
        <v>0</v>
      </c>
      <c r="CQ90" s="79">
        <v>0</v>
      </c>
      <c r="CR90" s="79">
        <v>0</v>
      </c>
      <c r="CS90" s="79">
        <v>11119.318181818182</v>
      </c>
      <c r="CT90" s="79"/>
      <c r="CU90" s="79">
        <v>0</v>
      </c>
      <c r="CV90" s="79"/>
      <c r="CW90" s="79">
        <v>0</v>
      </c>
      <c r="CX90" s="79">
        <v>0</v>
      </c>
      <c r="CY90" s="79">
        <v>0</v>
      </c>
      <c r="CZ90" s="79">
        <v>0</v>
      </c>
      <c r="DA90" s="79">
        <v>18100</v>
      </c>
      <c r="DB90" s="79">
        <v>44859.429324972472</v>
      </c>
      <c r="DC90" s="82">
        <v>0</v>
      </c>
      <c r="DD90" s="79">
        <v>0</v>
      </c>
      <c r="DE90" s="79"/>
      <c r="DF90" s="79">
        <v>150</v>
      </c>
      <c r="DG90" s="79">
        <v>0</v>
      </c>
      <c r="DH90" s="83">
        <v>0</v>
      </c>
      <c r="DI90" s="79">
        <v>16126.859146848701</v>
      </c>
      <c r="DJ90" s="79">
        <v>2918961.5055796155</v>
      </c>
      <c r="DK90" s="84">
        <v>4.4203842990100384E-3</v>
      </c>
      <c r="DL90" s="84">
        <v>0</v>
      </c>
      <c r="DM90" s="84">
        <f t="shared" si="54"/>
        <v>2918961.51</v>
      </c>
      <c r="DN90" s="84">
        <f>'[7]FY20 Initial Budget Alloca FTE'!F90*DN$1</f>
        <v>24865.258612716767</v>
      </c>
      <c r="DO90" s="81">
        <f t="shared" si="40"/>
        <v>0</v>
      </c>
      <c r="DP90" s="81">
        <f t="shared" si="55"/>
        <v>109264.27619794433</v>
      </c>
      <c r="DQ90" s="74">
        <f t="shared" si="56"/>
        <v>-84399.017585227557</v>
      </c>
      <c r="DR90" s="85">
        <f t="shared" ref="DR90:DR110" si="64">DQ90/DN90</f>
        <v>-3.3942545661706336</v>
      </c>
      <c r="DS90" s="81">
        <f t="shared" si="57"/>
        <v>2399206.342175121</v>
      </c>
      <c r="DT90" s="81">
        <f t="shared" si="41"/>
        <v>218228.55239588866</v>
      </c>
      <c r="DU90" s="81">
        <f t="shared" si="42"/>
        <v>218228.55239588866</v>
      </c>
      <c r="DV90" s="81">
        <f t="shared" si="34"/>
        <v>4350</v>
      </c>
      <c r="DW90" s="81">
        <f t="shared" si="43"/>
        <v>0</v>
      </c>
      <c r="DX90" s="81">
        <f t="shared" si="44"/>
        <v>0</v>
      </c>
      <c r="DY90" s="81">
        <f t="shared" si="45"/>
        <v>0</v>
      </c>
      <c r="DZ90" s="81">
        <f t="shared" si="46"/>
        <v>54082.8</v>
      </c>
      <c r="EA90" s="74">
        <f t="shared" si="47"/>
        <v>-84399.017585227557</v>
      </c>
      <c r="EB90" s="81">
        <f t="shared" si="48"/>
        <v>0</v>
      </c>
      <c r="EC90" s="81">
        <f t="shared" si="48"/>
        <v>109264.27619794433</v>
      </c>
      <c r="ED90" s="86">
        <v>0</v>
      </c>
      <c r="EE90" s="81">
        <f t="shared" si="59"/>
        <v>24865.258612716774</v>
      </c>
      <c r="EF90" s="81">
        <f t="shared" si="60"/>
        <v>2918961.5055796145</v>
      </c>
      <c r="EG90" s="81">
        <f t="shared" si="49"/>
        <v>0</v>
      </c>
      <c r="EH90" s="81">
        <v>2566327.0247153151</v>
      </c>
      <c r="EI90" s="84">
        <f t="shared" si="63"/>
        <v>2864878.7055796157</v>
      </c>
      <c r="EJ90" s="74">
        <f t="shared" si="50"/>
        <v>352634.48086430039</v>
      </c>
      <c r="EK90" s="74">
        <f t="shared" si="51"/>
        <v>298551.68086430058</v>
      </c>
      <c r="EM90" s="88">
        <f t="shared" si="52"/>
        <v>181</v>
      </c>
      <c r="EN90" s="74">
        <v>184</v>
      </c>
      <c r="EO90" s="74">
        <f t="shared" si="53"/>
        <v>-3</v>
      </c>
      <c r="EP90" s="72">
        <v>190</v>
      </c>
      <c r="EQ90" s="74">
        <f t="shared" si="61"/>
        <v>6</v>
      </c>
      <c r="ER90" s="72">
        <v>177</v>
      </c>
      <c r="ES90" s="74">
        <f t="shared" si="62"/>
        <v>4</v>
      </c>
      <c r="ET90" s="74"/>
      <c r="EU90" s="74"/>
      <c r="EV90" s="74"/>
      <c r="EW90" s="89"/>
      <c r="EX90" s="81">
        <f t="shared" ref="EX90:EX111" si="65">SUM(G90:BI90,BP90:BV90,CA90:CB90,CD90:CI90,CO90,CU90,CX90)</f>
        <v>2786299.9580728244</v>
      </c>
      <c r="EY90" s="81">
        <f t="shared" ref="EY90:EY111" si="66">SUM(BK90:BO90,BW90:BZ90,CC90,CK90:CN90,CP90:CS90,CW90,CY90:DH90)</f>
        <v>132661.54750679067</v>
      </c>
    </row>
    <row r="91" spans="1:155" x14ac:dyDescent="0.25">
      <c r="A91" s="76">
        <v>307</v>
      </c>
      <c r="B91" s="76" t="s">
        <v>231</v>
      </c>
      <c r="C91" s="77" t="s">
        <v>135</v>
      </c>
      <c r="D91" s="41">
        <v>8</v>
      </c>
      <c r="E91" s="78">
        <v>261</v>
      </c>
      <c r="F91" s="78">
        <v>234</v>
      </c>
      <c r="G91" s="79">
        <v>173177.12015668923</v>
      </c>
      <c r="H91" s="79">
        <v>109114.27619794433</v>
      </c>
      <c r="I91" s="79">
        <v>0</v>
      </c>
      <c r="J91" s="79">
        <v>0</v>
      </c>
      <c r="K91" s="79">
        <v>0</v>
      </c>
      <c r="L91" s="79">
        <v>40788.660078344612</v>
      </c>
      <c r="M91" s="79">
        <v>59319.676384927567</v>
      </c>
      <c r="N91" s="79">
        <v>0</v>
      </c>
      <c r="O91" s="79">
        <v>0</v>
      </c>
      <c r="P91" s="79">
        <v>0</v>
      </c>
      <c r="Q91" s="79"/>
      <c r="R91" s="79">
        <v>69375.836746740591</v>
      </c>
      <c r="S91" s="79">
        <v>54629.386746740587</v>
      </c>
      <c r="T91" s="79">
        <v>48958.736746740586</v>
      </c>
      <c r="U91" s="79">
        <v>54557.138098972166</v>
      </c>
      <c r="V91" s="79">
        <v>109114.27619794433</v>
      </c>
      <c r="W91" s="79">
        <v>109114.27619794433</v>
      </c>
      <c r="X91" s="79">
        <v>109114.27619794433</v>
      </c>
      <c r="Y91" s="79">
        <v>0</v>
      </c>
      <c r="Z91" s="79"/>
      <c r="AA91" s="79">
        <v>218228.55239588866</v>
      </c>
      <c r="AB91" s="79">
        <v>68805.252769855142</v>
      </c>
      <c r="AC91" s="79">
        <v>0</v>
      </c>
      <c r="AD91" s="79">
        <v>0</v>
      </c>
      <c r="AE91" s="79">
        <v>218228.55239588866</v>
      </c>
      <c r="AF91" s="79">
        <v>68805.252769855142</v>
      </c>
      <c r="AG91" s="79">
        <v>218228.55239588866</v>
      </c>
      <c r="AH91" s="79">
        <v>68805.252769855142</v>
      </c>
      <c r="AI91" s="79">
        <v>218228.55239588866</v>
      </c>
      <c r="AJ91" s="79">
        <v>218228.55239588866</v>
      </c>
      <c r="AK91" s="79">
        <v>218228.55239588866</v>
      </c>
      <c r="AL91" s="79">
        <v>218228.55239588866</v>
      </c>
      <c r="AM91" s="79">
        <v>109114.27619794433</v>
      </c>
      <c r="AN91" s="79">
        <v>0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</v>
      </c>
      <c r="AU91" s="79">
        <v>0</v>
      </c>
      <c r="AV91" s="79"/>
      <c r="AW91" s="79">
        <v>0</v>
      </c>
      <c r="AX91" s="79">
        <v>54557.138098972166</v>
      </c>
      <c r="AY91" s="79">
        <v>109114.27619794433</v>
      </c>
      <c r="AZ91" s="79">
        <v>327342.82859383302</v>
      </c>
      <c r="BA91" s="79">
        <v>0</v>
      </c>
      <c r="BB91" s="79">
        <v>0</v>
      </c>
      <c r="BC91" s="79">
        <v>0</v>
      </c>
      <c r="BD91" s="79">
        <v>9919.4796543585762</v>
      </c>
      <c r="BE91" s="79">
        <v>0</v>
      </c>
      <c r="BF91" s="79">
        <v>0</v>
      </c>
      <c r="BG91" s="79">
        <f>17958-BL91</f>
        <v>6360.9</v>
      </c>
      <c r="BH91" s="79">
        <v>16836</v>
      </c>
      <c r="BI91" s="79">
        <v>6734</v>
      </c>
      <c r="BJ91" s="79"/>
      <c r="BK91" s="79">
        <v>0</v>
      </c>
      <c r="BL91" s="79">
        <v>11597.1</v>
      </c>
      <c r="BM91" s="79">
        <v>126928.9</v>
      </c>
      <c r="BN91" s="79">
        <v>2019.77</v>
      </c>
      <c r="BO91" s="79">
        <v>0</v>
      </c>
      <c r="BP91" s="79">
        <v>0</v>
      </c>
      <c r="BQ91" s="79">
        <v>0</v>
      </c>
      <c r="BR91" s="79">
        <v>0</v>
      </c>
      <c r="BS91" s="79">
        <v>0</v>
      </c>
      <c r="BT91" s="79">
        <v>0</v>
      </c>
      <c r="BU91" s="79">
        <v>0</v>
      </c>
      <c r="BV91" s="80">
        <v>0</v>
      </c>
      <c r="BW91" s="80">
        <v>0</v>
      </c>
      <c r="BX91" s="80">
        <v>0</v>
      </c>
      <c r="BY91" s="80">
        <v>0</v>
      </c>
      <c r="BZ91" s="80">
        <v>0</v>
      </c>
      <c r="CA91" s="80">
        <v>0</v>
      </c>
      <c r="CB91" s="80">
        <v>0</v>
      </c>
      <c r="CC91" s="80">
        <v>0</v>
      </c>
      <c r="CD91" s="79">
        <v>0</v>
      </c>
      <c r="CE91" s="79">
        <v>0</v>
      </c>
      <c r="CF91" s="79">
        <v>0</v>
      </c>
      <c r="CG91" s="79">
        <v>0</v>
      </c>
      <c r="CH91" s="79">
        <v>0</v>
      </c>
      <c r="CI91" s="79">
        <v>0</v>
      </c>
      <c r="CJ91" s="79">
        <v>0</v>
      </c>
      <c r="CK91" s="79">
        <v>0</v>
      </c>
      <c r="CL91" s="79">
        <v>0</v>
      </c>
      <c r="CM91" s="79">
        <v>108165.6</v>
      </c>
      <c r="CN91" s="79">
        <v>0</v>
      </c>
      <c r="CO91" s="79">
        <v>0</v>
      </c>
      <c r="CP91" s="79">
        <v>0</v>
      </c>
      <c r="CQ91" s="79">
        <v>9360</v>
      </c>
      <c r="CR91" s="79">
        <v>116280</v>
      </c>
      <c r="CS91" s="79">
        <v>15254.10465116279</v>
      </c>
      <c r="CT91" s="79"/>
      <c r="CU91" s="79">
        <v>0</v>
      </c>
      <c r="CV91" s="79"/>
      <c r="CW91" s="79">
        <v>0</v>
      </c>
      <c r="CX91" s="79">
        <v>0</v>
      </c>
      <c r="CY91" s="79">
        <v>0</v>
      </c>
      <c r="CZ91" s="79">
        <v>0</v>
      </c>
      <c r="DA91" s="79">
        <v>26100</v>
      </c>
      <c r="DB91" s="79">
        <v>54701.477265553811</v>
      </c>
      <c r="DC91" s="82">
        <v>0</v>
      </c>
      <c r="DD91" s="79">
        <v>0</v>
      </c>
      <c r="DE91" s="79"/>
      <c r="DF91" s="79">
        <v>24000</v>
      </c>
      <c r="DG91" s="79">
        <v>0</v>
      </c>
      <c r="DH91" s="83">
        <v>311342.22089952586</v>
      </c>
      <c r="DI91" s="79">
        <v>15773.97454555944</v>
      </c>
      <c r="DJ91" s="79">
        <v>4117007.3563910136</v>
      </c>
      <c r="DK91" s="84">
        <v>3.6089862696826458E-3</v>
      </c>
      <c r="DL91" s="84">
        <v>111796.68</v>
      </c>
      <c r="DM91" s="84">
        <f t="shared" si="54"/>
        <v>4228804.04</v>
      </c>
      <c r="DN91" s="84">
        <f>'[7]FY20 Initial Budget Alloca FTE'!F91*DN$1</f>
        <v>513831.24000000005</v>
      </c>
      <c r="DO91" s="81">
        <f t="shared" si="40"/>
        <v>29930.9</v>
      </c>
      <c r="DP91" s="81">
        <f t="shared" si="55"/>
        <v>149640</v>
      </c>
      <c r="DQ91" s="74">
        <f t="shared" si="56"/>
        <v>334260.34000000003</v>
      </c>
      <c r="DR91" s="85">
        <f t="shared" si="64"/>
        <v>0.65052553052243378</v>
      </c>
      <c r="DS91" s="81">
        <f t="shared" si="57"/>
        <v>2542188.8029463794</v>
      </c>
      <c r="DT91" s="81">
        <f t="shared" si="41"/>
        <v>491014.24289074953</v>
      </c>
      <c r="DU91" s="81">
        <f t="shared" si="42"/>
        <v>9919.4796543585762</v>
      </c>
      <c r="DV91" s="81">
        <f t="shared" si="34"/>
        <v>140545.76999999999</v>
      </c>
      <c r="DW91" s="81">
        <f t="shared" si="43"/>
        <v>0</v>
      </c>
      <c r="DX91" s="81">
        <f t="shared" si="44"/>
        <v>0</v>
      </c>
      <c r="DY91" s="81">
        <f t="shared" si="45"/>
        <v>311342.22089952586</v>
      </c>
      <c r="DZ91" s="81">
        <f t="shared" si="46"/>
        <v>108165.6</v>
      </c>
      <c r="EA91" s="74">
        <f t="shared" si="47"/>
        <v>334260.34000000003</v>
      </c>
      <c r="EB91" s="81">
        <f t="shared" si="48"/>
        <v>29930.9</v>
      </c>
      <c r="EC91" s="81">
        <f t="shared" si="48"/>
        <v>149640</v>
      </c>
      <c r="ED91" s="86">
        <f t="shared" si="58"/>
        <v>0.65052553052243378</v>
      </c>
      <c r="EE91" s="81">
        <f t="shared" si="59"/>
        <v>513831.24000000005</v>
      </c>
      <c r="EF91" s="81">
        <f t="shared" si="60"/>
        <v>4117007.3563910136</v>
      </c>
      <c r="EG91" s="81">
        <f t="shared" si="49"/>
        <v>0</v>
      </c>
      <c r="EH91" s="81">
        <v>4278847.9976739995</v>
      </c>
      <c r="EI91" s="84">
        <f t="shared" si="63"/>
        <v>4008841.7563910135</v>
      </c>
      <c r="EJ91" s="74">
        <f t="shared" si="50"/>
        <v>-161840.64128298592</v>
      </c>
      <c r="EK91" s="74">
        <f t="shared" si="51"/>
        <v>-270006.24128298601</v>
      </c>
      <c r="EM91" s="88">
        <f t="shared" si="52"/>
        <v>261</v>
      </c>
      <c r="EN91" s="74">
        <v>245</v>
      </c>
      <c r="EO91" s="74">
        <f t="shared" si="53"/>
        <v>16</v>
      </c>
      <c r="EP91" s="72">
        <v>271</v>
      </c>
      <c r="EQ91" s="74">
        <f t="shared" si="61"/>
        <v>26</v>
      </c>
      <c r="ER91" s="72">
        <v>206</v>
      </c>
      <c r="ES91" s="74">
        <f t="shared" si="62"/>
        <v>55</v>
      </c>
      <c r="ET91" s="74"/>
      <c r="EU91" s="74"/>
      <c r="EV91" s="74"/>
      <c r="EW91" s="89"/>
      <c r="EX91" s="81">
        <f t="shared" si="65"/>
        <v>3311258.1835747706</v>
      </c>
      <c r="EY91" s="81">
        <f t="shared" si="66"/>
        <v>805749.17281624256</v>
      </c>
    </row>
    <row r="92" spans="1:155" ht="31.5" x14ac:dyDescent="0.25">
      <c r="A92" s="76">
        <v>409</v>
      </c>
      <c r="B92" s="76" t="s">
        <v>232</v>
      </c>
      <c r="C92" s="77" t="s">
        <v>150</v>
      </c>
      <c r="D92" s="41">
        <v>2</v>
      </c>
      <c r="E92" s="78">
        <v>495</v>
      </c>
      <c r="F92" s="78">
        <v>135.22648902821317</v>
      </c>
      <c r="G92" s="79">
        <v>86588.560078344613</v>
      </c>
      <c r="H92" s="79">
        <v>109114.27619794433</v>
      </c>
      <c r="I92" s="79">
        <v>336948.52837605414</v>
      </c>
      <c r="J92" s="79">
        <v>109114.27619794433</v>
      </c>
      <c r="K92" s="79">
        <v>0</v>
      </c>
      <c r="L92" s="79">
        <v>81577.320156689224</v>
      </c>
      <c r="M92" s="79">
        <v>59319.676384927567</v>
      </c>
      <c r="N92" s="79">
        <v>53562.391661913083</v>
      </c>
      <c r="O92" s="79">
        <v>0</v>
      </c>
      <c r="P92" s="79">
        <v>0</v>
      </c>
      <c r="Q92" s="79"/>
      <c r="R92" s="79">
        <v>69375.836746740591</v>
      </c>
      <c r="S92" s="79">
        <v>54629.386746740587</v>
      </c>
      <c r="T92" s="79">
        <v>97917.473493481171</v>
      </c>
      <c r="U92" s="79">
        <v>109114.27619794433</v>
      </c>
      <c r="V92" s="79">
        <v>109114.27619794433</v>
      </c>
      <c r="W92" s="79">
        <v>109114.27619794433</v>
      </c>
      <c r="X92" s="79">
        <v>109114.27619794433</v>
      </c>
      <c r="Y92" s="79">
        <v>0</v>
      </c>
      <c r="Z92" s="79"/>
      <c r="AA92" s="79">
        <v>218228.55239588866</v>
      </c>
      <c r="AB92" s="79">
        <v>68805.252769855142</v>
      </c>
      <c r="AC92" s="79">
        <v>109114.27619794433</v>
      </c>
      <c r="AD92" s="79">
        <v>34402.626384927571</v>
      </c>
      <c r="AE92" s="79">
        <v>218228.55239588866</v>
      </c>
      <c r="AF92" s="79">
        <v>68805.252769855142</v>
      </c>
      <c r="AG92" s="79">
        <v>218228.55239588866</v>
      </c>
      <c r="AH92" s="79">
        <v>68805.252769855142</v>
      </c>
      <c r="AI92" s="79">
        <v>218228.55239588866</v>
      </c>
      <c r="AJ92" s="79">
        <v>218228.55239588866</v>
      </c>
      <c r="AK92" s="79">
        <v>218228.55239588866</v>
      </c>
      <c r="AL92" s="79">
        <v>218228.55239588866</v>
      </c>
      <c r="AM92" s="79">
        <v>218228.55239588866</v>
      </c>
      <c r="AN92" s="79">
        <v>360077.11145321629</v>
      </c>
      <c r="AO92" s="79">
        <v>316431.40097403852</v>
      </c>
      <c r="AP92" s="79">
        <v>250962.83525527193</v>
      </c>
      <c r="AQ92" s="79">
        <v>0</v>
      </c>
      <c r="AR92" s="79">
        <v>0</v>
      </c>
      <c r="AS92" s="79">
        <v>0</v>
      </c>
      <c r="AT92" s="79">
        <v>0</v>
      </c>
      <c r="AU92" s="79">
        <v>0</v>
      </c>
      <c r="AV92" s="79"/>
      <c r="AW92" s="79">
        <v>0</v>
      </c>
      <c r="AX92" s="79">
        <v>54557.138098972166</v>
      </c>
      <c r="AY92" s="79">
        <v>109114.27619794433</v>
      </c>
      <c r="AZ92" s="79">
        <v>982028.48578149895</v>
      </c>
      <c r="BA92" s="79">
        <v>172013.13192463786</v>
      </c>
      <c r="BB92" s="79">
        <v>0</v>
      </c>
      <c r="BC92" s="79">
        <v>105202</v>
      </c>
      <c r="BD92" s="79">
        <v>327342.82859383302</v>
      </c>
      <c r="BE92" s="79">
        <v>0</v>
      </c>
      <c r="BF92" s="79">
        <v>0</v>
      </c>
      <c r="BG92" s="79">
        <v>0</v>
      </c>
      <c r="BH92" s="79">
        <v>0</v>
      </c>
      <c r="BI92" s="79">
        <v>0</v>
      </c>
      <c r="BJ92" s="79"/>
      <c r="BK92" s="79">
        <v>0</v>
      </c>
      <c r="BL92" s="79"/>
      <c r="BM92" s="79">
        <v>0</v>
      </c>
      <c r="BN92" s="79">
        <v>0</v>
      </c>
      <c r="BO92" s="79">
        <v>11800</v>
      </c>
      <c r="BP92" s="79">
        <v>0</v>
      </c>
      <c r="BQ92" s="79">
        <v>0</v>
      </c>
      <c r="BR92" s="79">
        <v>0</v>
      </c>
      <c r="BS92" s="79">
        <v>0</v>
      </c>
      <c r="BT92" s="79">
        <v>0</v>
      </c>
      <c r="BU92" s="79">
        <v>0</v>
      </c>
      <c r="BV92" s="80">
        <v>0</v>
      </c>
      <c r="BW92" s="80">
        <v>0</v>
      </c>
      <c r="BX92" s="80">
        <v>0</v>
      </c>
      <c r="BY92" s="80">
        <v>0</v>
      </c>
      <c r="BZ92" s="80">
        <v>0</v>
      </c>
      <c r="CA92" s="80">
        <v>0</v>
      </c>
      <c r="CB92" s="80">
        <v>0</v>
      </c>
      <c r="CC92" s="80">
        <v>0</v>
      </c>
      <c r="CD92" s="79">
        <v>0</v>
      </c>
      <c r="CE92" s="79">
        <v>0</v>
      </c>
      <c r="CF92" s="79">
        <v>0</v>
      </c>
      <c r="CG92" s="79">
        <v>0</v>
      </c>
      <c r="CH92" s="79">
        <v>0</v>
      </c>
      <c r="CI92" s="79">
        <v>218228.55239588866</v>
      </c>
      <c r="CJ92" s="79">
        <v>0</v>
      </c>
      <c r="CK92" s="79">
        <v>23000</v>
      </c>
      <c r="CL92" s="79">
        <v>5000</v>
      </c>
      <c r="CM92" s="79">
        <v>108165.6</v>
      </c>
      <c r="CN92" s="79">
        <v>100000</v>
      </c>
      <c r="CO92" s="79">
        <v>0</v>
      </c>
      <c r="CP92" s="79">
        <v>0</v>
      </c>
      <c r="CQ92" s="79">
        <v>2704.5297805642631</v>
      </c>
      <c r="CR92" s="79">
        <v>0</v>
      </c>
      <c r="CS92" s="79">
        <v>31955.798398169336</v>
      </c>
      <c r="CT92" s="79"/>
      <c r="CU92" s="79">
        <v>0</v>
      </c>
      <c r="CV92" s="79"/>
      <c r="CW92" s="79">
        <v>0</v>
      </c>
      <c r="CX92" s="79">
        <v>0</v>
      </c>
      <c r="CY92" s="79">
        <v>0</v>
      </c>
      <c r="CZ92" s="79">
        <v>0</v>
      </c>
      <c r="DA92" s="79">
        <v>49500</v>
      </c>
      <c r="DB92" s="79">
        <v>106039.81111223521</v>
      </c>
      <c r="DC92" s="82">
        <v>0</v>
      </c>
      <c r="DD92" s="79">
        <v>0</v>
      </c>
      <c r="DE92" s="79"/>
      <c r="DF92" s="79">
        <v>20500</v>
      </c>
      <c r="DG92" s="79">
        <v>0</v>
      </c>
      <c r="DH92" s="83">
        <v>0</v>
      </c>
      <c r="DI92" s="79">
        <v>14030.281638097724</v>
      </c>
      <c r="DJ92" s="79">
        <v>6944989.4108583741</v>
      </c>
      <c r="DK92" s="84">
        <v>255010.58914162591</v>
      </c>
      <c r="DL92" s="84">
        <v>0</v>
      </c>
      <c r="DM92" s="84">
        <f t="shared" si="54"/>
        <v>7200000</v>
      </c>
      <c r="DN92" s="84">
        <f>'[7]FY20 Initial Budget Alloca FTE'!F92*DN$1</f>
        <v>296938.43819749216</v>
      </c>
      <c r="DO92" s="81">
        <f t="shared" si="40"/>
        <v>0</v>
      </c>
      <c r="DP92" s="81">
        <f t="shared" si="55"/>
        <v>23204.529780564262</v>
      </c>
      <c r="DQ92" s="74">
        <f t="shared" si="56"/>
        <v>273733.90841692791</v>
      </c>
      <c r="DR92" s="85">
        <f t="shared" si="64"/>
        <v>0.92185407210523873</v>
      </c>
      <c r="DS92" s="81">
        <f t="shared" si="57"/>
        <v>4777827.5120639959</v>
      </c>
      <c r="DT92" s="81">
        <f t="shared" si="41"/>
        <v>1422915.0320030532</v>
      </c>
      <c r="DU92" s="81">
        <f t="shared" si="42"/>
        <v>327342.82859383302</v>
      </c>
      <c r="DV92" s="81">
        <f t="shared" si="34"/>
        <v>11800</v>
      </c>
      <c r="DW92" s="81">
        <f t="shared" si="43"/>
        <v>0</v>
      </c>
      <c r="DX92" s="81">
        <f t="shared" si="44"/>
        <v>0</v>
      </c>
      <c r="DY92" s="81">
        <f t="shared" si="45"/>
        <v>0</v>
      </c>
      <c r="DZ92" s="81">
        <f t="shared" si="46"/>
        <v>108165.6</v>
      </c>
      <c r="EA92" s="74">
        <f t="shared" si="47"/>
        <v>273733.90841692791</v>
      </c>
      <c r="EB92" s="81">
        <f t="shared" si="48"/>
        <v>0</v>
      </c>
      <c r="EC92" s="81">
        <f t="shared" si="48"/>
        <v>23204.529780564262</v>
      </c>
      <c r="ED92" s="86">
        <f t="shared" si="58"/>
        <v>0.92185407210523873</v>
      </c>
      <c r="EE92" s="81">
        <f t="shared" si="59"/>
        <v>296938.43819749216</v>
      </c>
      <c r="EF92" s="81">
        <f t="shared" si="60"/>
        <v>6944989.4108583741</v>
      </c>
      <c r="EG92" s="81">
        <f t="shared" si="49"/>
        <v>0</v>
      </c>
      <c r="EH92" s="81">
        <v>6513782.24030664</v>
      </c>
      <c r="EI92" s="84">
        <f t="shared" si="63"/>
        <v>6836823.8108583745</v>
      </c>
      <c r="EJ92" s="74">
        <f t="shared" si="50"/>
        <v>431207.17055173405</v>
      </c>
      <c r="EK92" s="74">
        <f t="shared" si="51"/>
        <v>323041.57055173442</v>
      </c>
      <c r="EM92" s="88">
        <f t="shared" si="52"/>
        <v>495</v>
      </c>
      <c r="EN92" s="74">
        <v>464</v>
      </c>
      <c r="EO92" s="74">
        <f t="shared" si="53"/>
        <v>31</v>
      </c>
      <c r="EP92" s="72">
        <v>472</v>
      </c>
      <c r="EQ92" s="74">
        <f t="shared" si="61"/>
        <v>8</v>
      </c>
      <c r="ER92" s="72">
        <v>549</v>
      </c>
      <c r="ES92" s="74">
        <f t="shared" si="62"/>
        <v>-54</v>
      </c>
      <c r="ET92" s="74"/>
      <c r="EU92" s="74"/>
      <c r="EV92" s="74"/>
      <c r="EW92" s="89"/>
      <c r="EX92" s="81">
        <f t="shared" si="65"/>
        <v>6486323.6715674056</v>
      </c>
      <c r="EY92" s="81">
        <f t="shared" si="66"/>
        <v>458665.73929096886</v>
      </c>
    </row>
    <row r="93" spans="1:155" x14ac:dyDescent="0.25">
      <c r="A93" s="76">
        <v>466</v>
      </c>
      <c r="B93" s="76" t="s">
        <v>233</v>
      </c>
      <c r="C93" s="77" t="s">
        <v>138</v>
      </c>
      <c r="D93" s="41">
        <v>2</v>
      </c>
      <c r="E93" s="78">
        <v>601</v>
      </c>
      <c r="F93" s="78">
        <v>106.73504273504274</v>
      </c>
      <c r="G93" s="79">
        <v>86588.560078344613</v>
      </c>
      <c r="H93" s="79">
        <v>109114.27619794433</v>
      </c>
      <c r="I93" s="79">
        <v>280790.44031337847</v>
      </c>
      <c r="J93" s="79">
        <v>0</v>
      </c>
      <c r="K93" s="79">
        <v>297226.48153239809</v>
      </c>
      <c r="L93" s="79">
        <v>81577.320156689224</v>
      </c>
      <c r="M93" s="79">
        <v>59319.676384927567</v>
      </c>
      <c r="N93" s="79">
        <v>66952.989577391359</v>
      </c>
      <c r="O93" s="79">
        <v>50130.026384927565</v>
      </c>
      <c r="P93" s="79">
        <v>62573.586746740584</v>
      </c>
      <c r="Q93" s="79"/>
      <c r="R93" s="79">
        <v>69375.836746740591</v>
      </c>
      <c r="S93" s="79">
        <v>54629.386746740587</v>
      </c>
      <c r="T93" s="79">
        <v>146876.21024022176</v>
      </c>
      <c r="U93" s="79">
        <v>109114.27619794433</v>
      </c>
      <c r="V93" s="79">
        <v>0</v>
      </c>
      <c r="W93" s="79">
        <v>0</v>
      </c>
      <c r="X93" s="79">
        <v>0</v>
      </c>
      <c r="Y93" s="79">
        <v>0</v>
      </c>
      <c r="Z93" s="79"/>
      <c r="AA93" s="79">
        <v>0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709242.7952866382</v>
      </c>
      <c r="AR93" s="79">
        <v>654685.65718766605</v>
      </c>
      <c r="AS93" s="79">
        <v>687419.94004704931</v>
      </c>
      <c r="AT93" s="79">
        <v>698331.36766684381</v>
      </c>
      <c r="AU93" s="79">
        <v>0</v>
      </c>
      <c r="AV93" s="79"/>
      <c r="AW93" s="79">
        <v>0</v>
      </c>
      <c r="AX93" s="79">
        <v>54557.138098972166</v>
      </c>
      <c r="AY93" s="79">
        <v>109114.27619794433</v>
      </c>
      <c r="AZ93" s="79">
        <v>218228.55239588866</v>
      </c>
      <c r="BA93" s="79">
        <v>68805.252769855142</v>
      </c>
      <c r="BB93" s="79">
        <v>0</v>
      </c>
      <c r="BC93" s="79">
        <v>52601</v>
      </c>
      <c r="BD93" s="79">
        <v>19838.959308717152</v>
      </c>
      <c r="BE93" s="79">
        <v>0</v>
      </c>
      <c r="BF93" s="79">
        <v>0</v>
      </c>
      <c r="BG93" s="79">
        <v>0</v>
      </c>
      <c r="BH93" s="79">
        <v>0</v>
      </c>
      <c r="BI93" s="79">
        <v>0</v>
      </c>
      <c r="BJ93" s="79"/>
      <c r="BK93" s="79">
        <v>0</v>
      </c>
      <c r="BL93" s="79"/>
      <c r="BM93" s="79">
        <v>0</v>
      </c>
      <c r="BN93" s="79">
        <v>0</v>
      </c>
      <c r="BO93" s="79">
        <v>14775</v>
      </c>
      <c r="BP93" s="79">
        <v>0</v>
      </c>
      <c r="BQ93" s="79">
        <v>0</v>
      </c>
      <c r="BR93" s="79">
        <v>0</v>
      </c>
      <c r="BS93" s="79">
        <v>0</v>
      </c>
      <c r="BT93" s="79">
        <v>0</v>
      </c>
      <c r="BU93" s="79">
        <v>0</v>
      </c>
      <c r="BV93" s="80">
        <v>0</v>
      </c>
      <c r="BW93" s="80">
        <v>0</v>
      </c>
      <c r="BX93" s="80">
        <v>0</v>
      </c>
      <c r="BY93" s="80">
        <v>0</v>
      </c>
      <c r="BZ93" s="80">
        <v>0</v>
      </c>
      <c r="CA93" s="80">
        <v>0</v>
      </c>
      <c r="CB93" s="80">
        <v>0</v>
      </c>
      <c r="CC93" s="80">
        <v>0</v>
      </c>
      <c r="CD93" s="79">
        <v>0</v>
      </c>
      <c r="CE93" s="79">
        <v>0</v>
      </c>
      <c r="CF93" s="79">
        <v>0</v>
      </c>
      <c r="CG93" s="79">
        <v>0</v>
      </c>
      <c r="CH93" s="79">
        <v>0</v>
      </c>
      <c r="CI93" s="79">
        <v>0</v>
      </c>
      <c r="CJ93" s="79">
        <v>0</v>
      </c>
      <c r="CK93" s="79">
        <v>0</v>
      </c>
      <c r="CL93" s="79">
        <v>0</v>
      </c>
      <c r="CM93" s="79">
        <v>295048.09999999998</v>
      </c>
      <c r="CN93" s="79">
        <v>0</v>
      </c>
      <c r="CO93" s="79">
        <v>105202</v>
      </c>
      <c r="CP93" s="79">
        <v>0</v>
      </c>
      <c r="CQ93" s="79">
        <v>0</v>
      </c>
      <c r="CR93" s="79">
        <v>0</v>
      </c>
      <c r="CS93" s="79">
        <v>75891.265384615384</v>
      </c>
      <c r="CT93" s="79"/>
      <c r="CU93" s="79">
        <v>0</v>
      </c>
      <c r="CV93" s="79"/>
      <c r="CW93" s="79">
        <v>0</v>
      </c>
      <c r="CX93" s="79">
        <v>0</v>
      </c>
      <c r="CY93" s="79">
        <v>0</v>
      </c>
      <c r="CZ93" s="79">
        <v>0</v>
      </c>
      <c r="DA93" s="79">
        <v>60100</v>
      </c>
      <c r="DB93" s="79">
        <v>78121.965700849818</v>
      </c>
      <c r="DC93" s="82">
        <v>750200</v>
      </c>
      <c r="DD93" s="79">
        <v>519436</v>
      </c>
      <c r="DE93" s="79"/>
      <c r="DF93" s="79">
        <v>150</v>
      </c>
      <c r="DG93" s="79">
        <v>0</v>
      </c>
      <c r="DH93" s="83">
        <v>0</v>
      </c>
      <c r="DI93" s="79">
        <v>11058.266784275256</v>
      </c>
      <c r="DJ93" s="79">
        <v>6646018.3373494288</v>
      </c>
      <c r="DK93" s="84">
        <v>2.6505710557103157E-3</v>
      </c>
      <c r="DL93" s="84">
        <v>0</v>
      </c>
      <c r="DM93" s="84">
        <f t="shared" si="54"/>
        <v>6646018.3399999999</v>
      </c>
      <c r="DN93" s="84">
        <f>'[7]FY20 Initial Budget Alloca FTE'!F93*DN$1</f>
        <v>234375.21094017097</v>
      </c>
      <c r="DO93" s="81">
        <f t="shared" si="40"/>
        <v>0</v>
      </c>
      <c r="DP93" s="81">
        <f t="shared" si="55"/>
        <v>150</v>
      </c>
      <c r="DQ93" s="74">
        <f t="shared" si="56"/>
        <v>234225.21094017097</v>
      </c>
      <c r="DR93" s="85">
        <f t="shared" si="64"/>
        <v>0.99936000057600682</v>
      </c>
      <c r="DS93" s="81">
        <f t="shared" si="57"/>
        <v>4309038.8476378806</v>
      </c>
      <c r="DT93" s="81">
        <f t="shared" si="41"/>
        <v>503306.21946266032</v>
      </c>
      <c r="DU93" s="81">
        <f t="shared" si="42"/>
        <v>19838.959308717152</v>
      </c>
      <c r="DV93" s="81">
        <f t="shared" si="34"/>
        <v>14775</v>
      </c>
      <c r="DW93" s="81">
        <f t="shared" si="43"/>
        <v>519436</v>
      </c>
      <c r="DX93" s="81">
        <f t="shared" si="44"/>
        <v>750200</v>
      </c>
      <c r="DY93" s="81">
        <f t="shared" si="45"/>
        <v>0</v>
      </c>
      <c r="DZ93" s="81">
        <f t="shared" si="46"/>
        <v>295048.09999999998</v>
      </c>
      <c r="EA93" s="74">
        <f t="shared" si="47"/>
        <v>234225.21094017097</v>
      </c>
      <c r="EB93" s="81">
        <f t="shared" si="48"/>
        <v>0</v>
      </c>
      <c r="EC93" s="81">
        <f t="shared" si="48"/>
        <v>150</v>
      </c>
      <c r="ED93" s="86">
        <f t="shared" si="58"/>
        <v>0.99936000057600682</v>
      </c>
      <c r="EE93" s="81">
        <f t="shared" si="59"/>
        <v>234375.21094017097</v>
      </c>
      <c r="EF93" s="81">
        <f t="shared" si="60"/>
        <v>6646018.3373494288</v>
      </c>
      <c r="EG93" s="81">
        <f t="shared" si="49"/>
        <v>0</v>
      </c>
      <c r="EH93" s="81">
        <v>5844695</v>
      </c>
      <c r="EI93" s="84">
        <f t="shared" si="63"/>
        <v>6350970.2373494292</v>
      </c>
      <c r="EJ93" s="74">
        <f t="shared" si="50"/>
        <v>801323.3373494288</v>
      </c>
      <c r="EK93" s="74">
        <f t="shared" si="51"/>
        <v>506275.23734942917</v>
      </c>
      <c r="EM93" s="88">
        <f t="shared" si="52"/>
        <v>601</v>
      </c>
      <c r="EN93" s="74">
        <v>585</v>
      </c>
      <c r="EO93" s="74">
        <f t="shared" si="53"/>
        <v>16</v>
      </c>
      <c r="EP93" s="72">
        <v>592</v>
      </c>
      <c r="EQ93" s="74">
        <f t="shared" si="61"/>
        <v>7</v>
      </c>
      <c r="ER93" s="72">
        <v>591</v>
      </c>
      <c r="ES93" s="74">
        <f t="shared" si="62"/>
        <v>10</v>
      </c>
      <c r="ET93" s="74"/>
      <c r="EU93" s="74"/>
      <c r="EV93" s="74"/>
      <c r="EW93" s="89"/>
      <c r="EX93" s="81">
        <f t="shared" si="65"/>
        <v>4852296.0062639639</v>
      </c>
      <c r="EY93" s="81">
        <f t="shared" si="66"/>
        <v>1793722.3310854651</v>
      </c>
    </row>
    <row r="94" spans="1:155" ht="31.5" x14ac:dyDescent="0.25">
      <c r="A94" s="76">
        <v>175</v>
      </c>
      <c r="B94" s="76" t="s">
        <v>234</v>
      </c>
      <c r="C94" s="77" t="s">
        <v>135</v>
      </c>
      <c r="D94" s="41">
        <v>6</v>
      </c>
      <c r="E94" s="78">
        <v>311</v>
      </c>
      <c r="F94" s="78">
        <v>27.074193548387097</v>
      </c>
      <c r="G94" s="79">
        <v>173177.12015668923</v>
      </c>
      <c r="H94" s="79">
        <v>109114.27619794433</v>
      </c>
      <c r="I94" s="79">
        <v>112316.1761253514</v>
      </c>
      <c r="J94" s="79">
        <v>0</v>
      </c>
      <c r="K94" s="79">
        <v>0</v>
      </c>
      <c r="L94" s="79">
        <v>81577.320156689224</v>
      </c>
      <c r="M94" s="79">
        <v>59319.676384927567</v>
      </c>
      <c r="N94" s="79">
        <v>0</v>
      </c>
      <c r="O94" s="79">
        <v>0</v>
      </c>
      <c r="P94" s="79">
        <v>0</v>
      </c>
      <c r="Q94" s="79"/>
      <c r="R94" s="79">
        <v>69375.836746740591</v>
      </c>
      <c r="S94" s="79">
        <v>54629.386746740587</v>
      </c>
      <c r="T94" s="79">
        <v>97917.473493481171</v>
      </c>
      <c r="U94" s="79">
        <v>109114.27619794433</v>
      </c>
      <c r="V94" s="79">
        <v>109114.27619794433</v>
      </c>
      <c r="W94" s="79">
        <v>109114.27619794433</v>
      </c>
      <c r="X94" s="79">
        <v>109114.27619794433</v>
      </c>
      <c r="Y94" s="79">
        <v>0</v>
      </c>
      <c r="Z94" s="79"/>
      <c r="AA94" s="79">
        <v>218228.55239588866</v>
      </c>
      <c r="AB94" s="79">
        <v>68805.252769855142</v>
      </c>
      <c r="AC94" s="79">
        <v>0</v>
      </c>
      <c r="AD94" s="79">
        <v>0</v>
      </c>
      <c r="AE94" s="79">
        <v>218228.55239588866</v>
      </c>
      <c r="AF94" s="79">
        <v>68805.252769855142</v>
      </c>
      <c r="AG94" s="79">
        <v>218228.55239588866</v>
      </c>
      <c r="AH94" s="79">
        <v>68805.252769855142</v>
      </c>
      <c r="AI94" s="79">
        <v>218228.55239588866</v>
      </c>
      <c r="AJ94" s="79">
        <v>218228.55239588866</v>
      </c>
      <c r="AK94" s="79">
        <v>218228.55239588866</v>
      </c>
      <c r="AL94" s="79">
        <v>218228.55239588866</v>
      </c>
      <c r="AM94" s="79">
        <v>109114.27619794433</v>
      </c>
      <c r="AN94" s="79">
        <v>0</v>
      </c>
      <c r="AO94" s="79">
        <v>0</v>
      </c>
      <c r="AP94" s="79">
        <v>0</v>
      </c>
      <c r="AQ94" s="79">
        <v>0</v>
      </c>
      <c r="AR94" s="79">
        <v>0</v>
      </c>
      <c r="AS94" s="79">
        <v>0</v>
      </c>
      <c r="AT94" s="79">
        <v>0</v>
      </c>
      <c r="AU94" s="79">
        <v>0</v>
      </c>
      <c r="AV94" s="79"/>
      <c r="AW94" s="79">
        <v>0</v>
      </c>
      <c r="AX94" s="79">
        <v>54557.138098972166</v>
      </c>
      <c r="AY94" s="79">
        <v>218228.55239588866</v>
      </c>
      <c r="AZ94" s="79">
        <v>872914.20958355465</v>
      </c>
      <c r="BA94" s="79">
        <v>275221.01107942057</v>
      </c>
      <c r="BB94" s="79">
        <v>0</v>
      </c>
      <c r="BC94" s="79">
        <v>0</v>
      </c>
      <c r="BD94" s="79">
        <v>9919.4796543585762</v>
      </c>
      <c r="BE94" s="79">
        <v>0</v>
      </c>
      <c r="BF94" s="79">
        <v>0</v>
      </c>
      <c r="BG94" s="79">
        <v>0</v>
      </c>
      <c r="BH94" s="79">
        <v>0</v>
      </c>
      <c r="BI94" s="79">
        <v>0</v>
      </c>
      <c r="BJ94" s="79"/>
      <c r="BK94" s="79">
        <v>0</v>
      </c>
      <c r="BL94" s="79"/>
      <c r="BM94" s="79">
        <v>0</v>
      </c>
      <c r="BN94" s="79">
        <v>0</v>
      </c>
      <c r="BO94" s="79">
        <v>7700</v>
      </c>
      <c r="BP94" s="79">
        <v>0</v>
      </c>
      <c r="BQ94" s="79">
        <v>0</v>
      </c>
      <c r="BR94" s="79">
        <v>0</v>
      </c>
      <c r="BS94" s="79">
        <v>0</v>
      </c>
      <c r="BT94" s="79">
        <v>0</v>
      </c>
      <c r="BU94" s="79">
        <v>0</v>
      </c>
      <c r="BV94" s="80">
        <v>0</v>
      </c>
      <c r="BW94" s="80">
        <v>0</v>
      </c>
      <c r="BX94" s="80">
        <v>0</v>
      </c>
      <c r="BY94" s="80">
        <v>0</v>
      </c>
      <c r="BZ94" s="80">
        <v>0</v>
      </c>
      <c r="CA94" s="80">
        <v>0</v>
      </c>
      <c r="CB94" s="80">
        <v>0</v>
      </c>
      <c r="CC94" s="80">
        <v>0</v>
      </c>
      <c r="CD94" s="79">
        <v>0</v>
      </c>
      <c r="CE94" s="79">
        <v>0</v>
      </c>
      <c r="CF94" s="79">
        <v>0</v>
      </c>
      <c r="CG94" s="79">
        <v>0</v>
      </c>
      <c r="CH94" s="79">
        <v>0</v>
      </c>
      <c r="CI94" s="79">
        <v>0</v>
      </c>
      <c r="CJ94" s="79">
        <v>0</v>
      </c>
      <c r="CK94" s="79">
        <v>0</v>
      </c>
      <c r="CL94" s="79">
        <v>0</v>
      </c>
      <c r="CM94" s="79">
        <v>54082.8</v>
      </c>
      <c r="CN94" s="79">
        <v>0</v>
      </c>
      <c r="CO94" s="79">
        <v>0</v>
      </c>
      <c r="CP94" s="79">
        <v>0</v>
      </c>
      <c r="CQ94" s="79">
        <v>0</v>
      </c>
      <c r="CR94" s="79">
        <v>0</v>
      </c>
      <c r="CS94" s="79">
        <v>17408.18888888889</v>
      </c>
      <c r="CT94" s="79"/>
      <c r="CU94" s="79">
        <v>0</v>
      </c>
      <c r="CV94" s="79"/>
      <c r="CW94" s="79">
        <v>0</v>
      </c>
      <c r="CX94" s="79">
        <v>0</v>
      </c>
      <c r="CY94" s="79">
        <v>0</v>
      </c>
      <c r="CZ94" s="79">
        <v>0</v>
      </c>
      <c r="DA94" s="79">
        <v>31100</v>
      </c>
      <c r="DB94" s="79">
        <v>71932.46007254938</v>
      </c>
      <c r="DC94" s="82">
        <v>0</v>
      </c>
      <c r="DD94" s="79">
        <v>0</v>
      </c>
      <c r="DE94" s="79"/>
      <c r="DF94" s="79">
        <v>1200</v>
      </c>
      <c r="DG94" s="79">
        <v>0</v>
      </c>
      <c r="DH94" s="83">
        <v>0</v>
      </c>
      <c r="DI94" s="79">
        <v>14955.878173159819</v>
      </c>
      <c r="DJ94" s="79">
        <v>4651278.1118527036</v>
      </c>
      <c r="DK94" s="84">
        <v>54557.888147296384</v>
      </c>
      <c r="DL94" s="84">
        <v>0</v>
      </c>
      <c r="DM94" s="84">
        <f t="shared" si="54"/>
        <v>4705836</v>
      </c>
      <c r="DN94" s="84">
        <f>'[7]FY20 Initial Budget Alloca FTE'!F94*DN$1</f>
        <v>59451.138645161293</v>
      </c>
      <c r="DO94" s="81">
        <f t="shared" si="40"/>
        <v>0</v>
      </c>
      <c r="DP94" s="81">
        <f t="shared" si="55"/>
        <v>1200</v>
      </c>
      <c r="DQ94" s="74">
        <f t="shared" si="56"/>
        <v>58251.138645161293</v>
      </c>
      <c r="DR94" s="85">
        <f t="shared" si="64"/>
        <v>0.97981535715972923</v>
      </c>
      <c r="DS94" s="81">
        <f t="shared" si="57"/>
        <v>3099203.782395348</v>
      </c>
      <c r="DT94" s="81">
        <f t="shared" si="41"/>
        <v>1420920.911157836</v>
      </c>
      <c r="DU94" s="81">
        <f t="shared" si="42"/>
        <v>9919.4796543585762</v>
      </c>
      <c r="DV94" s="81">
        <f t="shared" si="34"/>
        <v>7700</v>
      </c>
      <c r="DW94" s="81">
        <f t="shared" si="43"/>
        <v>0</v>
      </c>
      <c r="DX94" s="81">
        <f t="shared" si="44"/>
        <v>0</v>
      </c>
      <c r="DY94" s="81">
        <f t="shared" si="45"/>
        <v>0</v>
      </c>
      <c r="DZ94" s="81">
        <f t="shared" si="46"/>
        <v>54082.8</v>
      </c>
      <c r="EA94" s="74">
        <f t="shared" si="47"/>
        <v>58251.138645161293</v>
      </c>
      <c r="EB94" s="81">
        <f t="shared" si="48"/>
        <v>0</v>
      </c>
      <c r="EC94" s="81">
        <f t="shared" si="48"/>
        <v>1200</v>
      </c>
      <c r="ED94" s="86">
        <f t="shared" si="58"/>
        <v>0.97981535715972923</v>
      </c>
      <c r="EE94" s="81">
        <f t="shared" si="59"/>
        <v>59451.138645161293</v>
      </c>
      <c r="EF94" s="81">
        <f t="shared" si="60"/>
        <v>4651278.1118527036</v>
      </c>
      <c r="EG94" s="81">
        <f t="shared" si="49"/>
        <v>0</v>
      </c>
      <c r="EH94" s="81">
        <v>4331771.3537937459</v>
      </c>
      <c r="EI94" s="84">
        <f t="shared" si="63"/>
        <v>4597195.3118527038</v>
      </c>
      <c r="EJ94" s="74">
        <f t="shared" si="50"/>
        <v>319506.75805895776</v>
      </c>
      <c r="EK94" s="74">
        <f t="shared" si="51"/>
        <v>265423.95805895794</v>
      </c>
      <c r="EM94" s="88">
        <f t="shared" si="52"/>
        <v>311</v>
      </c>
      <c r="EN94" s="74">
        <v>307</v>
      </c>
      <c r="EO94" s="74">
        <f t="shared" si="53"/>
        <v>4</v>
      </c>
      <c r="EP94" s="72">
        <v>313</v>
      </c>
      <c r="EQ94" s="74">
        <f t="shared" si="61"/>
        <v>6</v>
      </c>
      <c r="ER94" s="72">
        <v>310</v>
      </c>
      <c r="ES94" s="74">
        <f t="shared" si="62"/>
        <v>1</v>
      </c>
      <c r="ET94" s="74"/>
      <c r="EU94" s="74"/>
      <c r="EV94" s="74"/>
      <c r="EW94" s="89"/>
      <c r="EX94" s="81">
        <f t="shared" si="65"/>
        <v>4467854.6628912659</v>
      </c>
      <c r="EY94" s="81">
        <f t="shared" si="66"/>
        <v>183423.44896143826</v>
      </c>
    </row>
    <row r="95" spans="1:155" x14ac:dyDescent="0.25">
      <c r="A95" s="76">
        <v>309</v>
      </c>
      <c r="B95" s="76" t="s">
        <v>235</v>
      </c>
      <c r="C95" s="77" t="s">
        <v>135</v>
      </c>
      <c r="D95" s="41">
        <v>6</v>
      </c>
      <c r="E95" s="78">
        <v>403</v>
      </c>
      <c r="F95" s="78">
        <v>209.85675675675677</v>
      </c>
      <c r="G95" s="79">
        <v>173177.12015668923</v>
      </c>
      <c r="H95" s="79">
        <v>109114.27619794433</v>
      </c>
      <c r="I95" s="79">
        <v>140395.22015668923</v>
      </c>
      <c r="J95" s="79">
        <v>0</v>
      </c>
      <c r="K95" s="79">
        <v>0</v>
      </c>
      <c r="L95" s="79">
        <v>81577.320156689224</v>
      </c>
      <c r="M95" s="79">
        <v>59319.676384927567</v>
      </c>
      <c r="N95" s="79">
        <v>44635.326384927568</v>
      </c>
      <c r="O95" s="79">
        <v>0</v>
      </c>
      <c r="P95" s="79">
        <v>0</v>
      </c>
      <c r="Q95" s="79"/>
      <c r="R95" s="79">
        <v>69375.836746740591</v>
      </c>
      <c r="S95" s="79">
        <v>54629.386746740587</v>
      </c>
      <c r="T95" s="79">
        <v>97917.473493481171</v>
      </c>
      <c r="U95" s="79">
        <v>109114.27619794433</v>
      </c>
      <c r="V95" s="79">
        <v>109114.27619794433</v>
      </c>
      <c r="W95" s="79">
        <v>109114.27619794433</v>
      </c>
      <c r="X95" s="79">
        <v>109114.27619794433</v>
      </c>
      <c r="Y95" s="79">
        <f>272785.690494861-Z95</f>
        <v>163671.41429691666</v>
      </c>
      <c r="Z95" s="79">
        <f>1*Z$121</f>
        <v>109114.27619794433</v>
      </c>
      <c r="AA95" s="79">
        <v>327342.82859383302</v>
      </c>
      <c r="AB95" s="79">
        <v>103207.87915478271</v>
      </c>
      <c r="AC95" s="79">
        <v>0</v>
      </c>
      <c r="AD95" s="79">
        <v>0</v>
      </c>
      <c r="AE95" s="79">
        <v>327342.82859383302</v>
      </c>
      <c r="AF95" s="79">
        <v>103207.87915478271</v>
      </c>
      <c r="AG95" s="79">
        <v>327342.82859383302</v>
      </c>
      <c r="AH95" s="79">
        <v>103207.87915478271</v>
      </c>
      <c r="AI95" s="79">
        <v>218228.55239588866</v>
      </c>
      <c r="AJ95" s="79">
        <v>327342.82859383302</v>
      </c>
      <c r="AK95" s="79">
        <v>218228.55239588866</v>
      </c>
      <c r="AL95" s="79">
        <v>218228.55239588866</v>
      </c>
      <c r="AM95" s="79">
        <v>218228.55239588866</v>
      </c>
      <c r="AN95" s="79">
        <v>0</v>
      </c>
      <c r="AO95" s="79">
        <v>0</v>
      </c>
      <c r="AP95" s="79">
        <v>0</v>
      </c>
      <c r="AQ95" s="79">
        <v>0</v>
      </c>
      <c r="AR95" s="79">
        <v>0</v>
      </c>
      <c r="AS95" s="79">
        <v>0</v>
      </c>
      <c r="AT95" s="79">
        <v>0</v>
      </c>
      <c r="AU95" s="79">
        <v>0</v>
      </c>
      <c r="AV95" s="79"/>
      <c r="AW95" s="79">
        <v>0</v>
      </c>
      <c r="AX95" s="79">
        <v>109114.27619794433</v>
      </c>
      <c r="AY95" s="79">
        <v>109114.27619794433</v>
      </c>
      <c r="AZ95" s="79">
        <v>763799.93338561035</v>
      </c>
      <c r="BA95" s="79">
        <v>275221.01107942057</v>
      </c>
      <c r="BB95" s="79">
        <v>0</v>
      </c>
      <c r="BC95" s="79">
        <v>105202</v>
      </c>
      <c r="BD95" s="79">
        <v>872914.20958355465</v>
      </c>
      <c r="BE95" s="79">
        <v>0</v>
      </c>
      <c r="BF95" s="79">
        <v>109114.27619794433</v>
      </c>
      <c r="BG95" s="79">
        <f>35916-BL95</f>
        <v>12721.8</v>
      </c>
      <c r="BH95" s="79">
        <v>33672</v>
      </c>
      <c r="BI95" s="79">
        <v>6734</v>
      </c>
      <c r="BJ95" s="79"/>
      <c r="BK95" s="79">
        <v>0</v>
      </c>
      <c r="BL95" s="79">
        <v>23194.2</v>
      </c>
      <c r="BM95" s="79">
        <v>176369.37</v>
      </c>
      <c r="BN95" s="79">
        <v>2806.49</v>
      </c>
      <c r="BO95" s="79">
        <v>0</v>
      </c>
      <c r="BP95" s="79">
        <v>0</v>
      </c>
      <c r="BQ95" s="79">
        <v>0</v>
      </c>
      <c r="BR95" s="79">
        <v>0</v>
      </c>
      <c r="BS95" s="79">
        <v>0</v>
      </c>
      <c r="BT95" s="79">
        <v>0</v>
      </c>
      <c r="BU95" s="79">
        <v>0</v>
      </c>
      <c r="BV95" s="80">
        <v>0</v>
      </c>
      <c r="BW95" s="80">
        <v>0</v>
      </c>
      <c r="BX95" s="80">
        <v>0</v>
      </c>
      <c r="BY95" s="80">
        <v>0</v>
      </c>
      <c r="BZ95" s="80">
        <v>0</v>
      </c>
      <c r="CA95" s="80">
        <v>0</v>
      </c>
      <c r="CB95" s="80">
        <v>0</v>
      </c>
      <c r="CC95" s="80">
        <v>0</v>
      </c>
      <c r="CD95" s="79">
        <v>0</v>
      </c>
      <c r="CE95" s="79">
        <v>0</v>
      </c>
      <c r="CF95" s="79">
        <v>0</v>
      </c>
      <c r="CG95" s="79">
        <v>0</v>
      </c>
      <c r="CH95" s="79">
        <v>0</v>
      </c>
      <c r="CI95" s="79">
        <v>0</v>
      </c>
      <c r="CJ95" s="79">
        <v>0</v>
      </c>
      <c r="CK95" s="79">
        <v>0</v>
      </c>
      <c r="CL95" s="79">
        <v>0</v>
      </c>
      <c r="CM95" s="79">
        <v>54082.8</v>
      </c>
      <c r="CN95" s="79">
        <v>0</v>
      </c>
      <c r="CO95" s="79">
        <v>0</v>
      </c>
      <c r="CP95" s="79">
        <v>0</v>
      </c>
      <c r="CQ95" s="79">
        <v>4197.135135135135</v>
      </c>
      <c r="CR95" s="79">
        <v>0</v>
      </c>
      <c r="CS95" s="79">
        <v>23210.5</v>
      </c>
      <c r="CT95" s="79"/>
      <c r="CU95" s="79">
        <v>0</v>
      </c>
      <c r="CV95" s="79"/>
      <c r="CW95" s="79">
        <v>0</v>
      </c>
      <c r="CX95" s="79">
        <v>0</v>
      </c>
      <c r="CY95" s="79">
        <v>0</v>
      </c>
      <c r="CZ95" s="79">
        <v>0</v>
      </c>
      <c r="DA95" s="79">
        <v>40300</v>
      </c>
      <c r="DB95" s="79">
        <v>102649.95457001164</v>
      </c>
      <c r="DC95" s="82">
        <v>0</v>
      </c>
      <c r="DD95" s="79">
        <v>0</v>
      </c>
      <c r="DE95" s="79"/>
      <c r="DF95" s="79">
        <v>17100</v>
      </c>
      <c r="DG95" s="79">
        <v>0</v>
      </c>
      <c r="DH95" s="83">
        <v>0</v>
      </c>
      <c r="DI95" s="79">
        <v>17054.123636432425</v>
      </c>
      <c r="DJ95" s="79">
        <v>6872811.825482267</v>
      </c>
      <c r="DK95" s="84">
        <v>4.5177331194281578E-3</v>
      </c>
      <c r="DL95" s="84">
        <v>0</v>
      </c>
      <c r="DM95" s="84">
        <f t="shared" si="54"/>
        <v>6872811.8300000001</v>
      </c>
      <c r="DN95" s="84">
        <f>'[7]FY20 Initial Budget Alloca FTE'!F95*DN$1</f>
        <v>460816.05789189192</v>
      </c>
      <c r="DO95" s="81">
        <f t="shared" si="40"/>
        <v>53127.8</v>
      </c>
      <c r="DP95" s="81">
        <f t="shared" si="55"/>
        <v>130411.41133307946</v>
      </c>
      <c r="DQ95" s="74">
        <f t="shared" si="56"/>
        <v>277276.84655881248</v>
      </c>
      <c r="DR95" s="85">
        <f t="shared" si="64"/>
        <v>0.60170829946178228</v>
      </c>
      <c r="DS95" s="81">
        <f t="shared" si="57"/>
        <v>3811062.924947957</v>
      </c>
      <c r="DT95" s="81">
        <f t="shared" si="41"/>
        <v>1362451.4968609195</v>
      </c>
      <c r="DU95" s="81">
        <f t="shared" si="42"/>
        <v>982028.48578149895</v>
      </c>
      <c r="DV95" s="81">
        <f t="shared" si="34"/>
        <v>202370.06</v>
      </c>
      <c r="DW95" s="81">
        <f t="shared" si="43"/>
        <v>0</v>
      </c>
      <c r="DX95" s="81">
        <f t="shared" si="44"/>
        <v>0</v>
      </c>
      <c r="DY95" s="81">
        <f t="shared" si="45"/>
        <v>0</v>
      </c>
      <c r="DZ95" s="81">
        <f t="shared" si="46"/>
        <v>54082.8</v>
      </c>
      <c r="EA95" s="74">
        <f t="shared" si="47"/>
        <v>277276.84655881248</v>
      </c>
      <c r="EB95" s="81">
        <f t="shared" si="48"/>
        <v>53127.8</v>
      </c>
      <c r="EC95" s="81">
        <f t="shared" si="48"/>
        <v>130411.41133307946</v>
      </c>
      <c r="ED95" s="86">
        <f t="shared" si="58"/>
        <v>0.60170829946178228</v>
      </c>
      <c r="EE95" s="81">
        <f t="shared" si="59"/>
        <v>460816.05789189192</v>
      </c>
      <c r="EF95" s="81">
        <f t="shared" si="60"/>
        <v>6872811.825482266</v>
      </c>
      <c r="EG95" s="81">
        <f t="shared" si="49"/>
        <v>0</v>
      </c>
      <c r="EH95" s="81">
        <v>6453068.2112965509</v>
      </c>
      <c r="EI95" s="84">
        <f t="shared" si="63"/>
        <v>6818729.0254822671</v>
      </c>
      <c r="EJ95" s="74">
        <f t="shared" si="50"/>
        <v>419743.61418571603</v>
      </c>
      <c r="EK95" s="74">
        <f t="shared" si="51"/>
        <v>365660.81418571621</v>
      </c>
      <c r="EM95" s="88">
        <f t="shared" si="52"/>
        <v>403</v>
      </c>
      <c r="EN95" s="74">
        <v>390</v>
      </c>
      <c r="EO95" s="74">
        <f t="shared" si="53"/>
        <v>13</v>
      </c>
      <c r="EP95" s="72">
        <v>390</v>
      </c>
      <c r="EQ95" s="74">
        <f t="shared" si="61"/>
        <v>0</v>
      </c>
      <c r="ER95" s="72">
        <v>407</v>
      </c>
      <c r="ES95" s="74">
        <f t="shared" si="62"/>
        <v>-4</v>
      </c>
      <c r="ET95" s="74"/>
      <c r="EU95" s="74"/>
      <c r="EV95" s="74"/>
      <c r="EW95" s="89"/>
      <c r="EX95" s="81">
        <f t="shared" si="65"/>
        <v>6428901.3757771207</v>
      </c>
      <c r="EY95" s="81">
        <f t="shared" si="66"/>
        <v>443910.44970514678</v>
      </c>
    </row>
    <row r="96" spans="1:155" x14ac:dyDescent="0.25">
      <c r="A96" s="76">
        <v>313</v>
      </c>
      <c r="B96" s="76" t="s">
        <v>236</v>
      </c>
      <c r="C96" s="77" t="s">
        <v>135</v>
      </c>
      <c r="D96" s="41">
        <v>4</v>
      </c>
      <c r="E96" s="78">
        <v>382</v>
      </c>
      <c r="F96" s="78">
        <v>65.055134881056432</v>
      </c>
      <c r="G96" s="79">
        <v>173177.12015668923</v>
      </c>
      <c r="H96" s="79">
        <v>109114.27619794433</v>
      </c>
      <c r="I96" s="79">
        <v>140395.22015668923</v>
      </c>
      <c r="J96" s="79">
        <v>0</v>
      </c>
      <c r="K96" s="79">
        <v>0</v>
      </c>
      <c r="L96" s="79">
        <v>81577.320156689224</v>
      </c>
      <c r="M96" s="79">
        <v>59319.676384927567</v>
      </c>
      <c r="N96" s="79">
        <v>0</v>
      </c>
      <c r="O96" s="79">
        <v>0</v>
      </c>
      <c r="P96" s="79">
        <v>0</v>
      </c>
      <c r="Q96" s="79"/>
      <c r="R96" s="79">
        <v>69375.836746740591</v>
      </c>
      <c r="S96" s="79">
        <v>54629.386746740587</v>
      </c>
      <c r="T96" s="79">
        <v>97917.473493481171</v>
      </c>
      <c r="U96" s="79">
        <v>109114.27619794433</v>
      </c>
      <c r="V96" s="79">
        <v>109114.27619794433</v>
      </c>
      <c r="W96" s="79">
        <v>109114.27619794433</v>
      </c>
      <c r="X96" s="79">
        <v>109114.27619794433</v>
      </c>
      <c r="Y96" s="79">
        <f>109114.276197944-Z96</f>
        <v>-3.3469405025243759E-10</v>
      </c>
      <c r="Z96" s="79">
        <f>1*Z$121</f>
        <v>109114.27619794433</v>
      </c>
      <c r="AA96" s="79">
        <v>218228.55239588866</v>
      </c>
      <c r="AB96" s="79">
        <v>68805.252769855142</v>
      </c>
      <c r="AC96" s="79">
        <v>0</v>
      </c>
      <c r="AD96" s="79">
        <v>0</v>
      </c>
      <c r="AE96" s="79">
        <v>218228.55239588866</v>
      </c>
      <c r="AF96" s="79">
        <v>68805.252769855142</v>
      </c>
      <c r="AG96" s="79">
        <v>218228.55239588866</v>
      </c>
      <c r="AH96" s="79">
        <v>68805.252769855142</v>
      </c>
      <c r="AI96" s="79">
        <v>218228.55239588866</v>
      </c>
      <c r="AJ96" s="79">
        <v>218228.55239588866</v>
      </c>
      <c r="AK96" s="79">
        <v>327342.82859383302</v>
      </c>
      <c r="AL96" s="79">
        <v>327342.82859383302</v>
      </c>
      <c r="AM96" s="79">
        <v>218228.55239588866</v>
      </c>
      <c r="AN96" s="79">
        <v>0</v>
      </c>
      <c r="AO96" s="79">
        <v>0</v>
      </c>
      <c r="AP96" s="79">
        <v>0</v>
      </c>
      <c r="AQ96" s="79">
        <v>0</v>
      </c>
      <c r="AR96" s="79">
        <v>0</v>
      </c>
      <c r="AS96" s="79">
        <v>0</v>
      </c>
      <c r="AT96" s="79">
        <v>0</v>
      </c>
      <c r="AU96" s="79">
        <v>0</v>
      </c>
      <c r="AV96" s="79"/>
      <c r="AW96" s="79">
        <v>0</v>
      </c>
      <c r="AX96" s="79">
        <v>54557.138098972166</v>
      </c>
      <c r="AY96" s="79">
        <v>109114.27619794433</v>
      </c>
      <c r="AZ96" s="79">
        <v>218228.55239588866</v>
      </c>
      <c r="BA96" s="79">
        <v>0</v>
      </c>
      <c r="BB96" s="79">
        <v>0</v>
      </c>
      <c r="BC96" s="79">
        <v>0</v>
      </c>
      <c r="BD96" s="79">
        <v>218228.55239588866</v>
      </c>
      <c r="BE96" s="79">
        <v>0</v>
      </c>
      <c r="BF96" s="79">
        <v>0</v>
      </c>
      <c r="BG96" s="79">
        <v>0</v>
      </c>
      <c r="BH96" s="79">
        <v>0</v>
      </c>
      <c r="BI96" s="79">
        <v>0</v>
      </c>
      <c r="BJ96" s="79"/>
      <c r="BK96" s="79">
        <v>0</v>
      </c>
      <c r="BL96" s="79"/>
      <c r="BM96" s="79">
        <v>0</v>
      </c>
      <c r="BN96" s="79">
        <v>0</v>
      </c>
      <c r="BO96" s="79">
        <v>8825</v>
      </c>
      <c r="BP96" s="79">
        <v>105202</v>
      </c>
      <c r="BQ96" s="79">
        <v>0</v>
      </c>
      <c r="BR96" s="79">
        <v>0</v>
      </c>
      <c r="BS96" s="79">
        <v>0</v>
      </c>
      <c r="BT96" s="79">
        <v>0</v>
      </c>
      <c r="BU96" s="79">
        <v>0</v>
      </c>
      <c r="BV96" s="80">
        <v>0</v>
      </c>
      <c r="BW96" s="80">
        <v>0</v>
      </c>
      <c r="BX96" s="80">
        <v>0</v>
      </c>
      <c r="BY96" s="80">
        <v>0</v>
      </c>
      <c r="BZ96" s="80">
        <v>0</v>
      </c>
      <c r="CA96" s="80">
        <v>0</v>
      </c>
      <c r="CB96" s="80">
        <v>0</v>
      </c>
      <c r="CC96" s="80">
        <v>0</v>
      </c>
      <c r="CD96" s="79">
        <v>0</v>
      </c>
      <c r="CE96" s="79">
        <v>0</v>
      </c>
      <c r="CF96" s="79">
        <v>0</v>
      </c>
      <c r="CG96" s="79">
        <v>0</v>
      </c>
      <c r="CH96" s="79">
        <v>0</v>
      </c>
      <c r="CI96" s="79">
        <v>0</v>
      </c>
      <c r="CJ96" s="79">
        <v>0</v>
      </c>
      <c r="CK96" s="79">
        <v>0</v>
      </c>
      <c r="CL96" s="79">
        <v>0</v>
      </c>
      <c r="CM96" s="79">
        <v>54082.8</v>
      </c>
      <c r="CN96" s="79">
        <v>0</v>
      </c>
      <c r="CO96" s="79">
        <v>0</v>
      </c>
      <c r="CP96" s="79">
        <v>0</v>
      </c>
      <c r="CQ96" s="79">
        <v>0</v>
      </c>
      <c r="CR96" s="79">
        <v>0</v>
      </c>
      <c r="CS96" s="79">
        <v>22114.674999999999</v>
      </c>
      <c r="CT96" s="79"/>
      <c r="CU96" s="79">
        <v>0</v>
      </c>
      <c r="CV96" s="79"/>
      <c r="CW96" s="79">
        <v>0</v>
      </c>
      <c r="CX96" s="79">
        <v>0</v>
      </c>
      <c r="CY96" s="79">
        <v>0</v>
      </c>
      <c r="CZ96" s="79">
        <v>0</v>
      </c>
      <c r="DA96" s="79">
        <v>38200</v>
      </c>
      <c r="DB96" s="79">
        <v>67730.783133853169</v>
      </c>
      <c r="DC96" s="82">
        <v>0</v>
      </c>
      <c r="DD96" s="79">
        <v>16454</v>
      </c>
      <c r="DE96" s="79"/>
      <c r="DF96" s="79">
        <v>4350</v>
      </c>
      <c r="DG96" s="79">
        <v>0</v>
      </c>
      <c r="DH96" s="83">
        <v>0</v>
      </c>
      <c r="DI96" s="79">
        <v>11567.115701897206</v>
      </c>
      <c r="DJ96" s="79">
        <v>4418638.1981247328</v>
      </c>
      <c r="DK96" s="84">
        <v>109114.80187526718</v>
      </c>
      <c r="DL96" s="84">
        <v>0</v>
      </c>
      <c r="DM96" s="84">
        <f t="shared" si="54"/>
        <v>4527753</v>
      </c>
      <c r="DN96" s="84">
        <f>'[7]FY20 Initial Budget Alloca FTE'!F96*DN$1</f>
        <v>142851.9684799166</v>
      </c>
      <c r="DO96" s="81">
        <f t="shared" si="40"/>
        <v>0</v>
      </c>
      <c r="DP96" s="81">
        <f t="shared" si="55"/>
        <v>113464.27619794433</v>
      </c>
      <c r="DQ96" s="74">
        <f t="shared" si="56"/>
        <v>29387.692281972268</v>
      </c>
      <c r="DR96" s="85">
        <f t="shared" si="64"/>
        <v>0.20572129733097694</v>
      </c>
      <c r="DS96" s="81">
        <f t="shared" si="57"/>
        <v>3596295.9105561227</v>
      </c>
      <c r="DT96" s="81">
        <f t="shared" si="41"/>
        <v>381899.96669280517</v>
      </c>
      <c r="DU96" s="81">
        <f t="shared" si="42"/>
        <v>218228.55239588866</v>
      </c>
      <c r="DV96" s="81">
        <f t="shared" si="34"/>
        <v>8825</v>
      </c>
      <c r="DW96" s="81">
        <f t="shared" si="43"/>
        <v>16454</v>
      </c>
      <c r="DX96" s="81">
        <f t="shared" si="44"/>
        <v>0</v>
      </c>
      <c r="DY96" s="81">
        <f t="shared" si="45"/>
        <v>0</v>
      </c>
      <c r="DZ96" s="81">
        <f t="shared" si="46"/>
        <v>54082.8</v>
      </c>
      <c r="EA96" s="74">
        <f t="shared" si="47"/>
        <v>29387.692281972268</v>
      </c>
      <c r="EB96" s="81">
        <f t="shared" si="48"/>
        <v>0</v>
      </c>
      <c r="EC96" s="81">
        <f t="shared" si="48"/>
        <v>113464.27619794433</v>
      </c>
      <c r="ED96" s="86">
        <f t="shared" si="58"/>
        <v>0.20572129733097694</v>
      </c>
      <c r="EE96" s="81">
        <f t="shared" si="59"/>
        <v>142851.9684799166</v>
      </c>
      <c r="EF96" s="81">
        <f t="shared" si="60"/>
        <v>4418638.1981247338</v>
      </c>
      <c r="EG96" s="81">
        <f t="shared" si="49"/>
        <v>0</v>
      </c>
      <c r="EH96" s="81">
        <v>4057897.5496250577</v>
      </c>
      <c r="EI96" s="84">
        <f t="shared" si="63"/>
        <v>4364555.398124733</v>
      </c>
      <c r="EJ96" s="74">
        <f t="shared" si="50"/>
        <v>360740.6484996751</v>
      </c>
      <c r="EK96" s="74">
        <f t="shared" si="51"/>
        <v>306657.84849967528</v>
      </c>
      <c r="EM96" s="88">
        <f t="shared" si="52"/>
        <v>382</v>
      </c>
      <c r="EN96" s="74">
        <v>367</v>
      </c>
      <c r="EO96" s="74">
        <f t="shared" si="53"/>
        <v>15</v>
      </c>
      <c r="EP96" s="72">
        <v>379</v>
      </c>
      <c r="EQ96" s="74">
        <f t="shared" si="61"/>
        <v>12</v>
      </c>
      <c r="ER96" s="72">
        <v>399</v>
      </c>
      <c r="ES96" s="74">
        <f t="shared" si="62"/>
        <v>-17</v>
      </c>
      <c r="ET96" s="74"/>
      <c r="EU96" s="74"/>
      <c r="EV96" s="74"/>
      <c r="EW96" s="89"/>
      <c r="EX96" s="81">
        <f t="shared" si="65"/>
        <v>4206880.93999088</v>
      </c>
      <c r="EY96" s="81">
        <f t="shared" si="66"/>
        <v>211757.25813385317</v>
      </c>
    </row>
    <row r="97" spans="1:155" x14ac:dyDescent="0.25">
      <c r="A97" s="76">
        <v>315</v>
      </c>
      <c r="B97" s="76" t="s">
        <v>237</v>
      </c>
      <c r="C97" s="77" t="s">
        <v>135</v>
      </c>
      <c r="D97" s="41">
        <v>8</v>
      </c>
      <c r="E97" s="78">
        <v>246</v>
      </c>
      <c r="F97" s="78">
        <v>193.37358490566038</v>
      </c>
      <c r="G97" s="79">
        <v>173177.12015668923</v>
      </c>
      <c r="H97" s="79">
        <v>109114.27619794433</v>
      </c>
      <c r="I97" s="79">
        <v>0</v>
      </c>
      <c r="J97" s="79">
        <v>0</v>
      </c>
      <c r="K97" s="79">
        <v>0</v>
      </c>
      <c r="L97" s="79">
        <v>40788.660078344612</v>
      </c>
      <c r="M97" s="79">
        <v>59319.676384927567</v>
      </c>
      <c r="N97" s="79">
        <v>0</v>
      </c>
      <c r="O97" s="79">
        <v>0</v>
      </c>
      <c r="P97" s="79">
        <v>0</v>
      </c>
      <c r="Q97" s="79"/>
      <c r="R97" s="79">
        <v>69375.836746740591</v>
      </c>
      <c r="S97" s="79">
        <v>54629.386746740587</v>
      </c>
      <c r="T97" s="79">
        <v>48958.736746740586</v>
      </c>
      <c r="U97" s="79">
        <v>54557.138098972166</v>
      </c>
      <c r="V97" s="79">
        <v>109114.27619794433</v>
      </c>
      <c r="W97" s="79">
        <v>109114.27619794433</v>
      </c>
      <c r="X97" s="79">
        <v>109114.27619794433</v>
      </c>
      <c r="Y97" s="79">
        <v>0</v>
      </c>
      <c r="Z97" s="79"/>
      <c r="AA97" s="79">
        <v>109114.27619794433</v>
      </c>
      <c r="AB97" s="79">
        <v>34402.626384927571</v>
      </c>
      <c r="AC97" s="79">
        <v>109114.27619794433</v>
      </c>
      <c r="AD97" s="79">
        <v>34402.626384927571</v>
      </c>
      <c r="AE97" s="79">
        <v>109114.27619794433</v>
      </c>
      <c r="AF97" s="79">
        <v>34402.626384927571</v>
      </c>
      <c r="AG97" s="79">
        <v>218228.55239588866</v>
      </c>
      <c r="AH97" s="79">
        <v>68805.252769855142</v>
      </c>
      <c r="AI97" s="79">
        <v>218228.55239588866</v>
      </c>
      <c r="AJ97" s="79">
        <v>218228.55239588866</v>
      </c>
      <c r="AK97" s="79">
        <v>218228.55239588866</v>
      </c>
      <c r="AL97" s="79">
        <v>218228.55239588866</v>
      </c>
      <c r="AM97" s="79">
        <v>218228.55239588866</v>
      </c>
      <c r="AN97" s="79">
        <v>0</v>
      </c>
      <c r="AO97" s="79">
        <v>0</v>
      </c>
      <c r="AP97" s="79">
        <v>0</v>
      </c>
      <c r="AQ97" s="79">
        <v>0</v>
      </c>
      <c r="AR97" s="79">
        <v>0</v>
      </c>
      <c r="AS97" s="79">
        <v>0</v>
      </c>
      <c r="AT97" s="79">
        <v>0</v>
      </c>
      <c r="AU97" s="79">
        <v>0</v>
      </c>
      <c r="AV97" s="79"/>
      <c r="AW97" s="79">
        <v>0</v>
      </c>
      <c r="AX97" s="79">
        <v>109114.27619794433</v>
      </c>
      <c r="AY97" s="79">
        <v>109114.27619794433</v>
      </c>
      <c r="AZ97" s="79">
        <v>436457.10479177732</v>
      </c>
      <c r="BA97" s="79">
        <v>68805.252769855142</v>
      </c>
      <c r="BB97" s="79">
        <v>0</v>
      </c>
      <c r="BC97" s="79">
        <v>0</v>
      </c>
      <c r="BD97" s="79">
        <v>29758.438963075725</v>
      </c>
      <c r="BE97" s="79">
        <v>0</v>
      </c>
      <c r="BF97" s="79">
        <v>0</v>
      </c>
      <c r="BG97" s="79">
        <v>0</v>
      </c>
      <c r="BH97" s="79">
        <v>0</v>
      </c>
      <c r="BI97" s="79">
        <v>0</v>
      </c>
      <c r="BJ97" s="79"/>
      <c r="BK97" s="79">
        <v>0</v>
      </c>
      <c r="BL97" s="79"/>
      <c r="BM97" s="79">
        <v>130256.62</v>
      </c>
      <c r="BN97" s="79">
        <v>2072.7199999999998</v>
      </c>
      <c r="BO97" s="79">
        <v>0</v>
      </c>
      <c r="BP97" s="79">
        <v>0</v>
      </c>
      <c r="BQ97" s="79">
        <v>0</v>
      </c>
      <c r="BR97" s="79">
        <v>0</v>
      </c>
      <c r="BS97" s="79">
        <v>0</v>
      </c>
      <c r="BT97" s="79">
        <v>0</v>
      </c>
      <c r="BU97" s="79">
        <v>0</v>
      </c>
      <c r="BV97" s="80">
        <v>0</v>
      </c>
      <c r="BW97" s="80">
        <v>0</v>
      </c>
      <c r="BX97" s="80">
        <v>0</v>
      </c>
      <c r="BY97" s="80">
        <v>0</v>
      </c>
      <c r="BZ97" s="80">
        <v>0</v>
      </c>
      <c r="CA97" s="80">
        <v>0</v>
      </c>
      <c r="CB97" s="80">
        <v>0</v>
      </c>
      <c r="CC97" s="80">
        <v>0</v>
      </c>
      <c r="CD97" s="79">
        <v>0</v>
      </c>
      <c r="CE97" s="79">
        <v>0</v>
      </c>
      <c r="CF97" s="79">
        <v>0</v>
      </c>
      <c r="CG97" s="79">
        <v>0</v>
      </c>
      <c r="CH97" s="79">
        <v>0</v>
      </c>
      <c r="CI97" s="79">
        <v>0</v>
      </c>
      <c r="CJ97" s="79">
        <v>0</v>
      </c>
      <c r="CK97" s="79">
        <v>0</v>
      </c>
      <c r="CL97" s="79">
        <v>0</v>
      </c>
      <c r="CM97" s="79">
        <v>54082.8</v>
      </c>
      <c r="CN97" s="79">
        <v>0</v>
      </c>
      <c r="CO97" s="79">
        <v>0</v>
      </c>
      <c r="CP97" s="79">
        <v>0</v>
      </c>
      <c r="CQ97" s="79">
        <v>7734.9433962264156</v>
      </c>
      <c r="CR97" s="79">
        <v>41760</v>
      </c>
      <c r="CS97" s="79">
        <v>15170.415384615384</v>
      </c>
      <c r="CT97" s="79"/>
      <c r="CU97" s="79">
        <v>0</v>
      </c>
      <c r="CV97" s="79"/>
      <c r="CW97" s="79">
        <v>0</v>
      </c>
      <c r="CX97" s="79">
        <v>0</v>
      </c>
      <c r="CY97" s="79">
        <v>0</v>
      </c>
      <c r="CZ97" s="79">
        <v>0</v>
      </c>
      <c r="DA97" s="79">
        <v>24600</v>
      </c>
      <c r="DB97" s="79">
        <v>57010.104565401838</v>
      </c>
      <c r="DC97" s="82">
        <v>0</v>
      </c>
      <c r="DD97" s="79">
        <v>15363.214285714286</v>
      </c>
      <c r="DE97" s="79"/>
      <c r="DF97" s="79">
        <v>22800</v>
      </c>
      <c r="DG97" s="79">
        <v>0</v>
      </c>
      <c r="DH97" s="83">
        <v>0</v>
      </c>
      <c r="DI97" s="79">
        <v>15732.077647143453</v>
      </c>
      <c r="DJ97" s="79">
        <v>3870091.1011972902</v>
      </c>
      <c r="DK97" s="84">
        <v>109114.89880270977</v>
      </c>
      <c r="DL97" s="84">
        <v>0</v>
      </c>
      <c r="DM97" s="84">
        <f t="shared" si="54"/>
        <v>3979206</v>
      </c>
      <c r="DN97" s="84">
        <f>'[7]FY20 Initial Budget Alloca FTE'!F97*DN$1</f>
        <v>424621.32015094341</v>
      </c>
      <c r="DO97" s="81">
        <f t="shared" si="40"/>
        <v>0</v>
      </c>
      <c r="DP97" s="81">
        <f t="shared" si="55"/>
        <v>72294.943396226416</v>
      </c>
      <c r="DQ97" s="74">
        <f t="shared" si="56"/>
        <v>352326.37675471697</v>
      </c>
      <c r="DR97" s="85">
        <f t="shared" si="64"/>
        <v>0.8297425495014541</v>
      </c>
      <c r="DS97" s="81">
        <f t="shared" si="57"/>
        <v>2490445.0778400358</v>
      </c>
      <c r="DT97" s="81">
        <f t="shared" si="41"/>
        <v>723490.90995752113</v>
      </c>
      <c r="DU97" s="81">
        <f t="shared" si="42"/>
        <v>29758.438963075725</v>
      </c>
      <c r="DV97" s="81">
        <f t="shared" si="34"/>
        <v>132329.34</v>
      </c>
      <c r="DW97" s="81">
        <f t="shared" si="43"/>
        <v>15363.214285714286</v>
      </c>
      <c r="DX97" s="81">
        <f t="shared" si="44"/>
        <v>0</v>
      </c>
      <c r="DY97" s="81">
        <f t="shared" si="45"/>
        <v>0</v>
      </c>
      <c r="DZ97" s="81">
        <f t="shared" si="46"/>
        <v>54082.8</v>
      </c>
      <c r="EA97" s="74">
        <f t="shared" si="47"/>
        <v>352326.37675471697</v>
      </c>
      <c r="EB97" s="81">
        <f t="shared" si="48"/>
        <v>0</v>
      </c>
      <c r="EC97" s="81">
        <f t="shared" si="48"/>
        <v>72294.943396226416</v>
      </c>
      <c r="ED97" s="86">
        <f t="shared" si="58"/>
        <v>0.82974254950145421</v>
      </c>
      <c r="EE97" s="81">
        <f t="shared" si="59"/>
        <v>424621.32015094336</v>
      </c>
      <c r="EF97" s="81">
        <f t="shared" si="60"/>
        <v>3870091.1011972898</v>
      </c>
      <c r="EG97" s="81">
        <f t="shared" si="49"/>
        <v>0</v>
      </c>
      <c r="EH97" s="81">
        <v>3645903.3655817886</v>
      </c>
      <c r="EI97" s="84">
        <f t="shared" si="63"/>
        <v>3816008.3011972904</v>
      </c>
      <c r="EJ97" s="74">
        <f t="shared" si="50"/>
        <v>224187.73561550165</v>
      </c>
      <c r="EK97" s="74">
        <f t="shared" si="51"/>
        <v>170104.93561550183</v>
      </c>
      <c r="EM97" s="88">
        <f t="shared" si="52"/>
        <v>246</v>
      </c>
      <c r="EN97" s="74">
        <v>256</v>
      </c>
      <c r="EO97" s="74">
        <f t="shared" si="53"/>
        <v>-10</v>
      </c>
      <c r="EP97" s="72">
        <v>241</v>
      </c>
      <c r="EQ97" s="74">
        <f t="shared" si="61"/>
        <v>-15</v>
      </c>
      <c r="ER97" s="72">
        <v>254</v>
      </c>
      <c r="ES97" s="74">
        <f t="shared" si="62"/>
        <v>-8</v>
      </c>
      <c r="ET97" s="74"/>
      <c r="EU97" s="74"/>
      <c r="EV97" s="74"/>
      <c r="EW97" s="89"/>
      <c r="EX97" s="81">
        <f t="shared" si="65"/>
        <v>3499240.2835653322</v>
      </c>
      <c r="EY97" s="81">
        <f t="shared" si="66"/>
        <v>370850.81763195794</v>
      </c>
    </row>
    <row r="98" spans="1:155" x14ac:dyDescent="0.25">
      <c r="A98" s="76">
        <v>322</v>
      </c>
      <c r="B98" s="76" t="s">
        <v>238</v>
      </c>
      <c r="C98" s="77" t="s">
        <v>135</v>
      </c>
      <c r="D98" s="41">
        <v>7</v>
      </c>
      <c r="E98" s="78">
        <v>245</v>
      </c>
      <c r="F98" s="78">
        <v>196.02702702702703</v>
      </c>
      <c r="G98" s="79">
        <v>173177.12015668923</v>
      </c>
      <c r="H98" s="79">
        <v>109114.27619794433</v>
      </c>
      <c r="I98" s="79">
        <v>0</v>
      </c>
      <c r="J98" s="79">
        <v>0</v>
      </c>
      <c r="K98" s="79">
        <v>0</v>
      </c>
      <c r="L98" s="79">
        <v>40788.660078344612</v>
      </c>
      <c r="M98" s="79">
        <v>59319.676384927567</v>
      </c>
      <c r="N98" s="79">
        <v>0</v>
      </c>
      <c r="O98" s="79">
        <v>0</v>
      </c>
      <c r="P98" s="79">
        <v>0</v>
      </c>
      <c r="Q98" s="79"/>
      <c r="R98" s="79">
        <v>69375.836746740591</v>
      </c>
      <c r="S98" s="79">
        <v>54629.386746740587</v>
      </c>
      <c r="T98" s="79">
        <v>48958.736746740586</v>
      </c>
      <c r="U98" s="79">
        <v>54557.138098972166</v>
      </c>
      <c r="V98" s="79">
        <v>109114.27619794433</v>
      </c>
      <c r="W98" s="79">
        <v>109114.27619794433</v>
      </c>
      <c r="X98" s="79">
        <v>109114.27619794433</v>
      </c>
      <c r="Y98" s="79">
        <v>0</v>
      </c>
      <c r="Z98" s="79"/>
      <c r="AA98" s="79">
        <v>218228.55239588866</v>
      </c>
      <c r="AB98" s="79">
        <v>68805.252769855142</v>
      </c>
      <c r="AC98" s="79">
        <v>0</v>
      </c>
      <c r="AD98" s="79">
        <v>0</v>
      </c>
      <c r="AE98" s="79">
        <v>218228.55239588866</v>
      </c>
      <c r="AF98" s="79">
        <v>68805.252769855142</v>
      </c>
      <c r="AG98" s="79">
        <v>218228.55239588866</v>
      </c>
      <c r="AH98" s="79">
        <v>68805.252769855142</v>
      </c>
      <c r="AI98" s="79">
        <v>218228.55239588866</v>
      </c>
      <c r="AJ98" s="79">
        <v>218228.55239588866</v>
      </c>
      <c r="AK98" s="79">
        <v>218228.55239588866</v>
      </c>
      <c r="AL98" s="79">
        <v>109114.27619794433</v>
      </c>
      <c r="AM98" s="79">
        <v>109114.27619794433</v>
      </c>
      <c r="AN98" s="79">
        <v>0</v>
      </c>
      <c r="AO98" s="79">
        <v>0</v>
      </c>
      <c r="AP98" s="79">
        <v>0</v>
      </c>
      <c r="AQ98" s="79">
        <v>0</v>
      </c>
      <c r="AR98" s="79">
        <v>0</v>
      </c>
      <c r="AS98" s="79">
        <v>0</v>
      </c>
      <c r="AT98" s="79">
        <v>0</v>
      </c>
      <c r="AU98" s="79">
        <v>0</v>
      </c>
      <c r="AV98" s="79"/>
      <c r="AW98" s="79">
        <v>0</v>
      </c>
      <c r="AX98" s="79">
        <v>109114.27619794433</v>
      </c>
      <c r="AY98" s="79">
        <v>109114.27619794433</v>
      </c>
      <c r="AZ98" s="79">
        <v>654685.65718766605</v>
      </c>
      <c r="BA98" s="79">
        <v>103207.87915478271</v>
      </c>
      <c r="BB98" s="79">
        <v>0</v>
      </c>
      <c r="BC98" s="79">
        <v>0</v>
      </c>
      <c r="BD98" s="79">
        <v>109114.27619794433</v>
      </c>
      <c r="BE98" s="79">
        <v>0</v>
      </c>
      <c r="BF98" s="79">
        <v>0</v>
      </c>
      <c r="BG98" s="79">
        <f>23944-BL98</f>
        <v>12347</v>
      </c>
      <c r="BH98" s="79">
        <v>22448</v>
      </c>
      <c r="BI98" s="79">
        <v>6734</v>
      </c>
      <c r="BJ98" s="79"/>
      <c r="BK98" s="79">
        <v>0</v>
      </c>
      <c r="BL98" s="79">
        <v>11597</v>
      </c>
      <c r="BM98" s="79">
        <v>117896.5</v>
      </c>
      <c r="BN98" s="79">
        <v>1876.04</v>
      </c>
      <c r="BO98" s="79">
        <v>0</v>
      </c>
      <c r="BP98" s="79">
        <v>11597.1</v>
      </c>
      <c r="BQ98" s="79">
        <v>0</v>
      </c>
      <c r="BR98" s="79">
        <v>0</v>
      </c>
      <c r="BS98" s="79">
        <v>0</v>
      </c>
      <c r="BT98" s="79">
        <v>0</v>
      </c>
      <c r="BU98" s="79">
        <v>0</v>
      </c>
      <c r="BV98" s="80">
        <v>0</v>
      </c>
      <c r="BW98" s="80">
        <v>0</v>
      </c>
      <c r="BX98" s="80">
        <v>0</v>
      </c>
      <c r="BY98" s="80">
        <v>0</v>
      </c>
      <c r="BZ98" s="80">
        <v>0</v>
      </c>
      <c r="CA98" s="80">
        <v>109114.27619794433</v>
      </c>
      <c r="CB98" s="80">
        <v>0</v>
      </c>
      <c r="CC98" s="80">
        <v>0</v>
      </c>
      <c r="CD98" s="79">
        <v>0</v>
      </c>
      <c r="CE98" s="79">
        <v>0</v>
      </c>
      <c r="CF98" s="79">
        <v>0</v>
      </c>
      <c r="CG98" s="79">
        <v>0</v>
      </c>
      <c r="CH98" s="79">
        <v>0</v>
      </c>
      <c r="CI98" s="79">
        <v>0</v>
      </c>
      <c r="CJ98" s="79">
        <v>0</v>
      </c>
      <c r="CK98" s="79">
        <v>0</v>
      </c>
      <c r="CL98" s="79">
        <v>0</v>
      </c>
      <c r="CM98" s="79">
        <v>54082.8</v>
      </c>
      <c r="CN98" s="79">
        <v>0</v>
      </c>
      <c r="CO98" s="79">
        <v>0</v>
      </c>
      <c r="CP98" s="79">
        <v>0</v>
      </c>
      <c r="CQ98" s="79">
        <v>7841.0810810810817</v>
      </c>
      <c r="CR98" s="79">
        <v>219600</v>
      </c>
      <c r="CS98" s="79">
        <v>14154.75</v>
      </c>
      <c r="CT98" s="79"/>
      <c r="CU98" s="79">
        <v>0</v>
      </c>
      <c r="CV98" s="79"/>
      <c r="CW98" s="79">
        <v>0</v>
      </c>
      <c r="CX98" s="79">
        <v>0</v>
      </c>
      <c r="CY98" s="79">
        <v>0</v>
      </c>
      <c r="CZ98" s="79">
        <v>0</v>
      </c>
      <c r="DA98" s="79">
        <v>24500</v>
      </c>
      <c r="DB98" s="79">
        <v>64015.461961264802</v>
      </c>
      <c r="DC98" s="82">
        <v>0</v>
      </c>
      <c r="DD98" s="79">
        <v>0</v>
      </c>
      <c r="DE98" s="79"/>
      <c r="DF98" s="79">
        <v>16200</v>
      </c>
      <c r="DG98" s="79">
        <v>0</v>
      </c>
      <c r="DH98" s="83">
        <v>0</v>
      </c>
      <c r="DI98" s="79">
        <v>18118.051261258326</v>
      </c>
      <c r="DJ98" s="79">
        <v>4438922.5590082901</v>
      </c>
      <c r="DK98" s="84">
        <v>109114.44099170994</v>
      </c>
      <c r="DL98" s="84">
        <v>0</v>
      </c>
      <c r="DM98" s="84">
        <f t="shared" si="54"/>
        <v>4548037</v>
      </c>
      <c r="DN98" s="84">
        <f>'[7]FY20 Initial Budget Alloca FTE'!F98*DN$1</f>
        <v>430447.9075675676</v>
      </c>
      <c r="DO98" s="81">
        <f t="shared" si="40"/>
        <v>41529</v>
      </c>
      <c r="DP98" s="81">
        <f t="shared" si="55"/>
        <v>352755.35727902543</v>
      </c>
      <c r="DQ98" s="74">
        <f t="shared" si="56"/>
        <v>36163.550288542174</v>
      </c>
      <c r="DR98" s="85">
        <f t="shared" si="64"/>
        <v>8.4013767177775311E-2</v>
      </c>
      <c r="DS98" s="81">
        <f t="shared" si="57"/>
        <v>2749383.0465044407</v>
      </c>
      <c r="DT98" s="81">
        <f t="shared" si="41"/>
        <v>976122.08873833739</v>
      </c>
      <c r="DU98" s="81">
        <f t="shared" si="42"/>
        <v>109114.27619794433</v>
      </c>
      <c r="DV98" s="81">
        <f t="shared" si="34"/>
        <v>131369.54</v>
      </c>
      <c r="DW98" s="81">
        <f t="shared" si="43"/>
        <v>0</v>
      </c>
      <c r="DX98" s="81">
        <f t="shared" si="44"/>
        <v>0</v>
      </c>
      <c r="DY98" s="81">
        <f t="shared" si="45"/>
        <v>0</v>
      </c>
      <c r="DZ98" s="81">
        <f t="shared" si="46"/>
        <v>54082.8</v>
      </c>
      <c r="EA98" s="74">
        <f t="shared" si="47"/>
        <v>36163.550288542174</v>
      </c>
      <c r="EB98" s="81">
        <f t="shared" si="48"/>
        <v>41529</v>
      </c>
      <c r="EC98" s="81">
        <f t="shared" si="48"/>
        <v>352755.35727902543</v>
      </c>
      <c r="ED98" s="86">
        <f t="shared" si="58"/>
        <v>8.4013767177775311E-2</v>
      </c>
      <c r="EE98" s="81">
        <f t="shared" si="59"/>
        <v>430447.9075675676</v>
      </c>
      <c r="EF98" s="81">
        <f t="shared" si="60"/>
        <v>4450519.6590082897</v>
      </c>
      <c r="EG98" s="81">
        <f t="shared" si="49"/>
        <v>-11597.099999999627</v>
      </c>
      <c r="EH98" s="81">
        <v>4178458.8046615282</v>
      </c>
      <c r="EI98" s="84">
        <f t="shared" si="63"/>
        <v>4384839.7590082902</v>
      </c>
      <c r="EJ98" s="74">
        <f t="shared" si="50"/>
        <v>260463.75434676185</v>
      </c>
      <c r="EK98" s="74">
        <f t="shared" si="51"/>
        <v>206380.95434676204</v>
      </c>
      <c r="EM98" s="88">
        <f t="shared" si="52"/>
        <v>245</v>
      </c>
      <c r="EN98" s="74">
        <v>265</v>
      </c>
      <c r="EO98" s="74">
        <f t="shared" si="53"/>
        <v>-20</v>
      </c>
      <c r="EP98" s="72">
        <v>249</v>
      </c>
      <c r="EQ98" s="74">
        <f t="shared" si="61"/>
        <v>-16</v>
      </c>
      <c r="ER98" s="72">
        <v>259</v>
      </c>
      <c r="ES98" s="74">
        <f t="shared" si="62"/>
        <v>-14</v>
      </c>
      <c r="ET98" s="74"/>
      <c r="EU98" s="74"/>
      <c r="EV98" s="74"/>
      <c r="EW98" s="89"/>
      <c r="EX98" s="81">
        <f t="shared" si="65"/>
        <v>3918756.0259659444</v>
      </c>
      <c r="EY98" s="81">
        <f t="shared" si="66"/>
        <v>531763.63304234599</v>
      </c>
    </row>
    <row r="99" spans="1:155" x14ac:dyDescent="0.25">
      <c r="A99" s="76">
        <v>427</v>
      </c>
      <c r="B99" s="76" t="s">
        <v>239</v>
      </c>
      <c r="C99" s="77" t="s">
        <v>152</v>
      </c>
      <c r="D99" s="41">
        <v>7</v>
      </c>
      <c r="E99" s="78">
        <v>248</v>
      </c>
      <c r="F99" s="78">
        <v>188</v>
      </c>
      <c r="G99" s="79">
        <v>173177.12015668923</v>
      </c>
      <c r="H99" s="79">
        <v>109114.27619794433</v>
      </c>
      <c r="I99" s="79">
        <v>112316.1761253514</v>
      </c>
      <c r="J99" s="79">
        <v>109114.27619794433</v>
      </c>
      <c r="K99" s="79">
        <v>0</v>
      </c>
      <c r="L99" s="79">
        <v>40788.660078344612</v>
      </c>
      <c r="M99" s="79">
        <v>59319.676384927567</v>
      </c>
      <c r="N99" s="79">
        <v>0</v>
      </c>
      <c r="O99" s="79">
        <v>0</v>
      </c>
      <c r="P99" s="79">
        <v>0</v>
      </c>
      <c r="Q99" s="79"/>
      <c r="R99" s="79">
        <v>69375.836746740591</v>
      </c>
      <c r="S99" s="79">
        <v>54629.386746740587</v>
      </c>
      <c r="T99" s="79">
        <v>146876.21024022176</v>
      </c>
      <c r="U99" s="79">
        <v>54557.138098972166</v>
      </c>
      <c r="V99" s="79">
        <v>0</v>
      </c>
      <c r="W99" s="79">
        <v>0</v>
      </c>
      <c r="X99" s="79">
        <v>0</v>
      </c>
      <c r="Y99" s="79">
        <v>0</v>
      </c>
      <c r="Z99" s="79"/>
      <c r="AA99" s="79">
        <v>0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79">
        <v>0</v>
      </c>
      <c r="AN99" s="79">
        <v>458279.96003136621</v>
      </c>
      <c r="AO99" s="79">
        <v>425545.67717198288</v>
      </c>
      <c r="AP99" s="79">
        <v>349165.68383342191</v>
      </c>
      <c r="AQ99" s="79">
        <v>0</v>
      </c>
      <c r="AR99" s="79">
        <v>0</v>
      </c>
      <c r="AS99" s="79">
        <v>0</v>
      </c>
      <c r="AT99" s="79">
        <v>0</v>
      </c>
      <c r="AU99" s="79">
        <v>0</v>
      </c>
      <c r="AV99" s="79"/>
      <c r="AW99" s="79">
        <v>0</v>
      </c>
      <c r="AX99" s="79">
        <v>109114.27619794433</v>
      </c>
      <c r="AY99" s="79">
        <v>218228.55239588866</v>
      </c>
      <c r="AZ99" s="79">
        <v>654685.65718766605</v>
      </c>
      <c r="BA99" s="79">
        <v>68805.252769855142</v>
      </c>
      <c r="BB99" s="79">
        <v>0</v>
      </c>
      <c r="BC99" s="79">
        <v>0</v>
      </c>
      <c r="BD99" s="79">
        <v>24798.699135896437</v>
      </c>
      <c r="BE99" s="79">
        <v>0</v>
      </c>
      <c r="BF99" s="79">
        <v>0</v>
      </c>
      <c r="BG99" s="79">
        <v>0</v>
      </c>
      <c r="BH99" s="79">
        <v>0</v>
      </c>
      <c r="BI99" s="79">
        <v>0</v>
      </c>
      <c r="BJ99" s="79"/>
      <c r="BK99" s="79">
        <v>0</v>
      </c>
      <c r="BL99" s="79"/>
      <c r="BM99" s="79">
        <v>107437.94</v>
      </c>
      <c r="BN99" s="79">
        <v>1709.62</v>
      </c>
      <c r="BO99" s="79">
        <v>0</v>
      </c>
      <c r="BP99" s="79">
        <v>0</v>
      </c>
      <c r="BQ99" s="79">
        <v>109114.27619794433</v>
      </c>
      <c r="BR99" s="79">
        <v>140395.22015668923</v>
      </c>
      <c r="BS99" s="79">
        <v>0</v>
      </c>
      <c r="BT99" s="79">
        <v>0</v>
      </c>
      <c r="BU99" s="79">
        <v>0</v>
      </c>
      <c r="BV99" s="80">
        <v>0</v>
      </c>
      <c r="BW99" s="80">
        <v>0</v>
      </c>
      <c r="BX99" s="80">
        <v>0</v>
      </c>
      <c r="BY99" s="80">
        <v>0</v>
      </c>
      <c r="BZ99" s="80">
        <v>0</v>
      </c>
      <c r="CA99" s="80">
        <v>0</v>
      </c>
      <c r="CB99" s="80">
        <v>0</v>
      </c>
      <c r="CC99" s="80">
        <v>0</v>
      </c>
      <c r="CD99" s="79">
        <v>0</v>
      </c>
      <c r="CE99" s="79">
        <v>0</v>
      </c>
      <c r="CF99" s="79">
        <v>0</v>
      </c>
      <c r="CG99" s="79">
        <v>0</v>
      </c>
      <c r="CH99" s="79">
        <v>0</v>
      </c>
      <c r="CI99" s="79">
        <v>218228.55239588866</v>
      </c>
      <c r="CJ99" s="79">
        <v>0</v>
      </c>
      <c r="CK99" s="79">
        <v>23000</v>
      </c>
      <c r="CL99" s="79">
        <v>5000</v>
      </c>
      <c r="CM99" s="79">
        <v>295048.09999999998</v>
      </c>
      <c r="CN99" s="79">
        <v>100000</v>
      </c>
      <c r="CO99" s="79">
        <v>0</v>
      </c>
      <c r="CP99" s="79">
        <v>75000</v>
      </c>
      <c r="CQ99" s="79">
        <v>7520</v>
      </c>
      <c r="CR99" s="79">
        <v>0</v>
      </c>
      <c r="CS99" s="79">
        <v>20629.09685534591</v>
      </c>
      <c r="CT99" s="79"/>
      <c r="CU99" s="79">
        <v>0</v>
      </c>
      <c r="CV99" s="79"/>
      <c r="CW99" s="79">
        <v>0</v>
      </c>
      <c r="CX99" s="79">
        <v>0</v>
      </c>
      <c r="CY99" s="79">
        <v>0</v>
      </c>
      <c r="CZ99" s="79">
        <v>0</v>
      </c>
      <c r="DA99" s="79">
        <v>24800</v>
      </c>
      <c r="DB99" s="79">
        <v>61270.652087619557</v>
      </c>
      <c r="DC99" s="82">
        <v>0</v>
      </c>
      <c r="DD99" s="79">
        <v>0</v>
      </c>
      <c r="DE99" s="79"/>
      <c r="DF99" s="79">
        <v>52850</v>
      </c>
      <c r="DG99" s="79">
        <v>0</v>
      </c>
      <c r="DH99" s="83">
        <v>0</v>
      </c>
      <c r="DI99" s="79">
        <v>18064.09666690075</v>
      </c>
      <c r="DJ99" s="79">
        <v>4479895.9733913857</v>
      </c>
      <c r="DK99" s="84">
        <v>109114.87660861388</v>
      </c>
      <c r="DL99" s="84">
        <v>0</v>
      </c>
      <c r="DM99" s="84">
        <f t="shared" si="54"/>
        <v>4589010.8499999996</v>
      </c>
      <c r="DN99" s="84">
        <f>'[7]FY20 Initial Budget Alloca FTE'!F99*DN$1</f>
        <v>412821.68000000005</v>
      </c>
      <c r="DO99" s="81">
        <f t="shared" si="40"/>
        <v>0</v>
      </c>
      <c r="DP99" s="81">
        <f t="shared" si="55"/>
        <v>275765.22015668923</v>
      </c>
      <c r="DQ99" s="74">
        <f t="shared" si="56"/>
        <v>137056.45984331082</v>
      </c>
      <c r="DR99" s="85">
        <f t="shared" si="64"/>
        <v>0.33199918144635909</v>
      </c>
      <c r="DS99" s="81">
        <f t="shared" si="57"/>
        <v>2587246.1957041351</v>
      </c>
      <c r="DT99" s="81">
        <f t="shared" ref="DT99:DT119" si="67">SUM(AX99:BC99)</f>
        <v>1050833.7385513543</v>
      </c>
      <c r="DU99" s="81">
        <f t="shared" si="42"/>
        <v>24798.699135896437</v>
      </c>
      <c r="DV99" s="81">
        <f t="shared" si="34"/>
        <v>109147.56</v>
      </c>
      <c r="DW99" s="81">
        <f t="shared" si="43"/>
        <v>0</v>
      </c>
      <c r="DX99" s="81">
        <f t="shared" si="44"/>
        <v>0</v>
      </c>
      <c r="DY99" s="81">
        <f t="shared" si="45"/>
        <v>0</v>
      </c>
      <c r="DZ99" s="81">
        <f t="shared" si="46"/>
        <v>295048.09999999998</v>
      </c>
      <c r="EA99" s="74">
        <f t="shared" si="47"/>
        <v>137056.45984331082</v>
      </c>
      <c r="EB99" s="81">
        <f t="shared" ref="EB99:EC119" si="68">DO99</f>
        <v>0</v>
      </c>
      <c r="EC99" s="81">
        <f t="shared" si="68"/>
        <v>275765.22015668923</v>
      </c>
      <c r="ED99" s="86">
        <f t="shared" si="58"/>
        <v>0.33199918144635909</v>
      </c>
      <c r="EE99" s="81">
        <f t="shared" si="59"/>
        <v>412821.68000000005</v>
      </c>
      <c r="EF99" s="81">
        <f t="shared" si="60"/>
        <v>4479895.9733913857</v>
      </c>
      <c r="EG99" s="81">
        <f t="shared" si="49"/>
        <v>0</v>
      </c>
      <c r="EH99" s="81">
        <v>3924184.1654800782</v>
      </c>
      <c r="EI99" s="84">
        <f t="shared" si="63"/>
        <v>4184847.8733913857</v>
      </c>
      <c r="EJ99" s="74">
        <f t="shared" si="50"/>
        <v>555711.80791130755</v>
      </c>
      <c r="EK99" s="74">
        <f t="shared" si="51"/>
        <v>260663.70791130746</v>
      </c>
      <c r="EM99" s="88">
        <f t="shared" si="52"/>
        <v>248</v>
      </c>
      <c r="EN99" s="74">
        <v>225</v>
      </c>
      <c r="EO99" s="74">
        <f t="shared" si="53"/>
        <v>23</v>
      </c>
      <c r="EP99" s="72">
        <v>242</v>
      </c>
      <c r="EQ99" s="74">
        <f t="shared" si="61"/>
        <v>17</v>
      </c>
      <c r="ER99" s="72">
        <v>226</v>
      </c>
      <c r="ES99" s="74">
        <f t="shared" si="62"/>
        <v>22</v>
      </c>
      <c r="ET99" s="74"/>
      <c r="EU99" s="74"/>
      <c r="EV99" s="74"/>
      <c r="EW99" s="89"/>
      <c r="EX99" s="81">
        <f t="shared" si="65"/>
        <v>3705630.5644484204</v>
      </c>
      <c r="EY99" s="81">
        <f t="shared" si="66"/>
        <v>774265.40894296532</v>
      </c>
    </row>
    <row r="100" spans="1:155" x14ac:dyDescent="0.25">
      <c r="A100" s="76">
        <v>319</v>
      </c>
      <c r="B100" s="76" t="s">
        <v>240</v>
      </c>
      <c r="C100" s="77" t="s">
        <v>135</v>
      </c>
      <c r="D100" s="41">
        <v>8</v>
      </c>
      <c r="E100" s="78">
        <v>447</v>
      </c>
      <c r="F100" s="78">
        <v>410</v>
      </c>
      <c r="G100" s="79">
        <v>173177.12015668923</v>
      </c>
      <c r="H100" s="79">
        <v>109114.27619794433</v>
      </c>
      <c r="I100" s="79">
        <v>154434.74217235818</v>
      </c>
      <c r="J100" s="79">
        <v>0</v>
      </c>
      <c r="K100" s="79">
        <v>0</v>
      </c>
      <c r="L100" s="79">
        <v>81577.320156689224</v>
      </c>
      <c r="M100" s="79">
        <v>59319.676384927567</v>
      </c>
      <c r="N100" s="79">
        <v>49098.859023420329</v>
      </c>
      <c r="O100" s="79">
        <v>0</v>
      </c>
      <c r="P100" s="79">
        <v>0</v>
      </c>
      <c r="Q100" s="79"/>
      <c r="R100" s="79">
        <v>69375.836746740591</v>
      </c>
      <c r="S100" s="79">
        <v>54629.386746740587</v>
      </c>
      <c r="T100" s="79">
        <v>97917.473493481171</v>
      </c>
      <c r="U100" s="79">
        <v>109114.27619794433</v>
      </c>
      <c r="V100" s="79">
        <v>109114.27619794433</v>
      </c>
      <c r="W100" s="79">
        <v>109114.27619794433</v>
      </c>
      <c r="X100" s="79">
        <v>109114.27619794433</v>
      </c>
      <c r="Y100" s="79">
        <f>163671.414296917-Z100</f>
        <v>109114.27619794484</v>
      </c>
      <c r="Z100" s="79">
        <f>0.5*Z$121</f>
        <v>54557.138098972166</v>
      </c>
      <c r="AA100" s="79">
        <v>218228.55239588866</v>
      </c>
      <c r="AB100" s="79">
        <v>68805.252769855142</v>
      </c>
      <c r="AC100" s="79">
        <v>0</v>
      </c>
      <c r="AD100" s="79">
        <v>0</v>
      </c>
      <c r="AE100" s="79">
        <v>327342.82859383302</v>
      </c>
      <c r="AF100" s="79">
        <v>103207.87915478271</v>
      </c>
      <c r="AG100" s="79">
        <v>327342.82859383302</v>
      </c>
      <c r="AH100" s="79">
        <v>103207.87915478271</v>
      </c>
      <c r="AI100" s="79">
        <v>327342.82859383302</v>
      </c>
      <c r="AJ100" s="79">
        <v>327342.82859383302</v>
      </c>
      <c r="AK100" s="79">
        <v>327342.82859383302</v>
      </c>
      <c r="AL100" s="79">
        <v>327342.82859383302</v>
      </c>
      <c r="AM100" s="79">
        <v>436457.10479177732</v>
      </c>
      <c r="AN100" s="79">
        <v>0</v>
      </c>
      <c r="AO100" s="79">
        <v>0</v>
      </c>
      <c r="AP100" s="79">
        <v>0</v>
      </c>
      <c r="AQ100" s="79">
        <v>0</v>
      </c>
      <c r="AR100" s="79">
        <v>0</v>
      </c>
      <c r="AS100" s="79">
        <v>0</v>
      </c>
      <c r="AT100" s="79">
        <v>0</v>
      </c>
      <c r="AU100" s="79">
        <v>0</v>
      </c>
      <c r="AV100" s="79"/>
      <c r="AW100" s="79">
        <v>0</v>
      </c>
      <c r="AX100" s="79">
        <v>109114.27619794433</v>
      </c>
      <c r="AY100" s="79">
        <v>218228.55239588866</v>
      </c>
      <c r="AZ100" s="79">
        <v>763799.93338561035</v>
      </c>
      <c r="BA100" s="79">
        <v>103207.87915478271</v>
      </c>
      <c r="BB100" s="79">
        <v>0</v>
      </c>
      <c r="BC100" s="79">
        <v>0</v>
      </c>
      <c r="BD100" s="79">
        <v>0</v>
      </c>
      <c r="BE100" s="79">
        <v>0</v>
      </c>
      <c r="BF100" s="79">
        <v>0</v>
      </c>
      <c r="BG100" s="79">
        <f>41902-BL100</f>
        <v>11974</v>
      </c>
      <c r="BH100" s="79">
        <v>39284</v>
      </c>
      <c r="BI100" s="79">
        <v>6734</v>
      </c>
      <c r="BJ100" s="79"/>
      <c r="BK100" s="79">
        <v>0</v>
      </c>
      <c r="BL100" s="79">
        <v>29928</v>
      </c>
      <c r="BM100" s="79">
        <v>234366.84</v>
      </c>
      <c r="BN100" s="79">
        <v>3729.38</v>
      </c>
      <c r="BO100" s="79">
        <v>0</v>
      </c>
      <c r="BP100" s="79">
        <v>0</v>
      </c>
      <c r="BQ100" s="79">
        <v>0</v>
      </c>
      <c r="BR100" s="79">
        <v>0</v>
      </c>
      <c r="BS100" s="79">
        <v>0</v>
      </c>
      <c r="BT100" s="79">
        <v>0</v>
      </c>
      <c r="BU100" s="79">
        <v>0</v>
      </c>
      <c r="BV100" s="80">
        <v>0</v>
      </c>
      <c r="BW100" s="80">
        <v>0</v>
      </c>
      <c r="BX100" s="80">
        <v>0</v>
      </c>
      <c r="BY100" s="80">
        <v>0</v>
      </c>
      <c r="BZ100" s="80">
        <v>0</v>
      </c>
      <c r="CA100" s="80">
        <v>0</v>
      </c>
      <c r="CB100" s="80">
        <v>0</v>
      </c>
      <c r="CC100" s="80">
        <v>0</v>
      </c>
      <c r="CD100" s="79">
        <v>0</v>
      </c>
      <c r="CE100" s="79">
        <v>0</v>
      </c>
      <c r="CF100" s="79">
        <v>0</v>
      </c>
      <c r="CG100" s="79">
        <v>0</v>
      </c>
      <c r="CH100" s="79">
        <v>0</v>
      </c>
      <c r="CI100" s="79">
        <v>0</v>
      </c>
      <c r="CJ100" s="79">
        <v>0</v>
      </c>
      <c r="CK100" s="79">
        <v>0</v>
      </c>
      <c r="CL100" s="79">
        <v>0</v>
      </c>
      <c r="CM100" s="79">
        <v>108165.6</v>
      </c>
      <c r="CN100" s="79">
        <v>0</v>
      </c>
      <c r="CO100" s="79">
        <v>0</v>
      </c>
      <c r="CP100" s="79">
        <v>0</v>
      </c>
      <c r="CQ100" s="79">
        <v>16400</v>
      </c>
      <c r="CR100" s="79">
        <v>0</v>
      </c>
      <c r="CS100" s="79">
        <v>24202.626279863482</v>
      </c>
      <c r="CT100" s="79"/>
      <c r="CU100" s="79">
        <v>0</v>
      </c>
      <c r="CV100" s="79"/>
      <c r="CW100" s="79">
        <v>0</v>
      </c>
      <c r="CX100" s="79">
        <v>0</v>
      </c>
      <c r="CY100" s="79">
        <v>0</v>
      </c>
      <c r="CZ100" s="79">
        <v>0</v>
      </c>
      <c r="DA100" s="79">
        <v>44700</v>
      </c>
      <c r="DB100" s="79">
        <v>89147.10860722512</v>
      </c>
      <c r="DC100" s="82">
        <v>0</v>
      </c>
      <c r="DD100" s="79">
        <v>0</v>
      </c>
      <c r="DE100" s="79"/>
      <c r="DF100" s="79">
        <v>49700</v>
      </c>
      <c r="DG100" s="79">
        <v>0</v>
      </c>
      <c r="DH100" s="83">
        <v>0</v>
      </c>
      <c r="DI100" s="79">
        <v>13859.997865814503</v>
      </c>
      <c r="DJ100" s="79">
        <v>6195419.0460190838</v>
      </c>
      <c r="DK100" s="84">
        <v>3.9809159934520721E-3</v>
      </c>
      <c r="DL100" s="84">
        <v>0</v>
      </c>
      <c r="DM100" s="84">
        <f t="shared" si="54"/>
        <v>6195419.0499999998</v>
      </c>
      <c r="DN100" s="84">
        <f>'[7]FY20 Initial Budget Alloca FTE'!F100*DN$1</f>
        <v>900302.60000000009</v>
      </c>
      <c r="DO100" s="81">
        <f t="shared" si="40"/>
        <v>57992</v>
      </c>
      <c r="DP100" s="81">
        <f t="shared" si="55"/>
        <v>120657.13809897217</v>
      </c>
      <c r="DQ100" s="74">
        <f t="shared" si="56"/>
        <v>721653.46190102794</v>
      </c>
      <c r="DR100" s="85">
        <f t="shared" si="64"/>
        <v>0.80156767502507253</v>
      </c>
      <c r="DS100" s="81">
        <f t="shared" si="57"/>
        <v>3724575.9848848581</v>
      </c>
      <c r="DT100" s="81">
        <f t="shared" si="67"/>
        <v>1194350.6411342262</v>
      </c>
      <c r="DU100" s="81">
        <f t="shared" si="42"/>
        <v>0</v>
      </c>
      <c r="DV100" s="81">
        <f t="shared" ref="DV100:DV119" si="69">SUM(BL100:BO100,BZ100,DG100)</f>
        <v>268024.21999999997</v>
      </c>
      <c r="DW100" s="81">
        <f t="shared" si="43"/>
        <v>0</v>
      </c>
      <c r="DX100" s="81">
        <f t="shared" si="44"/>
        <v>0</v>
      </c>
      <c r="DY100" s="81">
        <f t="shared" si="45"/>
        <v>0</v>
      </c>
      <c r="DZ100" s="81">
        <f t="shared" si="46"/>
        <v>108165.6</v>
      </c>
      <c r="EA100" s="74">
        <f t="shared" si="47"/>
        <v>721653.46190102794</v>
      </c>
      <c r="EB100" s="81">
        <f t="shared" si="68"/>
        <v>57992</v>
      </c>
      <c r="EC100" s="81">
        <f t="shared" si="68"/>
        <v>120657.13809897217</v>
      </c>
      <c r="ED100" s="86">
        <f t="shared" si="58"/>
        <v>0.80156767502507253</v>
      </c>
      <c r="EE100" s="81">
        <f t="shared" si="59"/>
        <v>900302.60000000009</v>
      </c>
      <c r="EF100" s="81">
        <f t="shared" si="60"/>
        <v>6195419.0460190838</v>
      </c>
      <c r="EG100" s="81">
        <f t="shared" si="49"/>
        <v>0</v>
      </c>
      <c r="EH100" s="81">
        <v>6008597.7021420943</v>
      </c>
      <c r="EI100" s="84">
        <f t="shared" si="63"/>
        <v>6087253.4460190842</v>
      </c>
      <c r="EJ100" s="74">
        <f t="shared" si="50"/>
        <v>186821.34387698956</v>
      </c>
      <c r="EK100" s="74">
        <f t="shared" si="51"/>
        <v>78655.743876989931</v>
      </c>
      <c r="EM100" s="88">
        <f t="shared" si="52"/>
        <v>447</v>
      </c>
      <c r="EN100" s="74">
        <v>481</v>
      </c>
      <c r="EO100" s="74">
        <f t="shared" si="53"/>
        <v>-34</v>
      </c>
      <c r="EP100" s="72">
        <v>473</v>
      </c>
      <c r="EQ100" s="74">
        <f t="shared" si="61"/>
        <v>-8</v>
      </c>
      <c r="ER100" s="72">
        <v>437</v>
      </c>
      <c r="ES100" s="74">
        <f t="shared" si="62"/>
        <v>10</v>
      </c>
      <c r="ET100" s="74"/>
      <c r="EU100" s="74"/>
      <c r="EV100" s="74"/>
      <c r="EW100" s="89"/>
      <c r="EX100" s="81">
        <f t="shared" si="65"/>
        <v>5595079.4911319958</v>
      </c>
      <c r="EY100" s="81">
        <f t="shared" si="66"/>
        <v>600339.55488708848</v>
      </c>
    </row>
    <row r="101" spans="1:155" x14ac:dyDescent="0.25">
      <c r="A101" s="76">
        <v>321</v>
      </c>
      <c r="B101" s="76" t="s">
        <v>242</v>
      </c>
      <c r="C101" s="77" t="s">
        <v>135</v>
      </c>
      <c r="D101" s="41">
        <v>3</v>
      </c>
      <c r="E101" s="78">
        <v>471</v>
      </c>
      <c r="F101" s="78">
        <v>39.715639810426545</v>
      </c>
      <c r="G101" s="79">
        <v>173177.12015668923</v>
      </c>
      <c r="H101" s="79">
        <v>109114.27619794433</v>
      </c>
      <c r="I101" s="79">
        <v>168474.26418802707</v>
      </c>
      <c r="J101" s="79">
        <v>0</v>
      </c>
      <c r="K101" s="79">
        <v>0</v>
      </c>
      <c r="L101" s="79">
        <v>81577.320156689224</v>
      </c>
      <c r="M101" s="79">
        <v>59319.676384927567</v>
      </c>
      <c r="N101" s="79">
        <v>53562.391661913083</v>
      </c>
      <c r="O101" s="79">
        <v>0</v>
      </c>
      <c r="P101" s="79">
        <v>0</v>
      </c>
      <c r="Q101" s="79"/>
      <c r="R101" s="79">
        <v>69375.836746740591</v>
      </c>
      <c r="S101" s="79">
        <v>54629.386746740587</v>
      </c>
      <c r="T101" s="79">
        <v>97917.473493481171</v>
      </c>
      <c r="U101" s="79">
        <v>109114.27619794433</v>
      </c>
      <c r="V101" s="79">
        <v>109114.27619794433</v>
      </c>
      <c r="W101" s="79">
        <v>109114.27619794433</v>
      </c>
      <c r="X101" s="79">
        <v>109114.27619794433</v>
      </c>
      <c r="Y101" s="79">
        <v>163671.41429691651</v>
      </c>
      <c r="Z101" s="79"/>
      <c r="AA101" s="79">
        <v>0</v>
      </c>
      <c r="AB101" s="79">
        <v>0</v>
      </c>
      <c r="AC101" s="79">
        <v>0</v>
      </c>
      <c r="AD101" s="79">
        <v>0</v>
      </c>
      <c r="AE101" s="79">
        <v>109114.27619794433</v>
      </c>
      <c r="AF101" s="79">
        <v>34402.626384927571</v>
      </c>
      <c r="AG101" s="79">
        <v>436457.10479177732</v>
      </c>
      <c r="AH101" s="79">
        <v>137610.50553971028</v>
      </c>
      <c r="AI101" s="79">
        <v>436457.10479177732</v>
      </c>
      <c r="AJ101" s="79">
        <v>436457.10479177732</v>
      </c>
      <c r="AK101" s="79">
        <v>436457.10479177732</v>
      </c>
      <c r="AL101" s="79">
        <v>327342.82859383302</v>
      </c>
      <c r="AM101" s="79">
        <v>327342.82859383302</v>
      </c>
      <c r="AN101" s="79">
        <v>0</v>
      </c>
      <c r="AO101" s="79">
        <v>0</v>
      </c>
      <c r="AP101" s="79">
        <v>0</v>
      </c>
      <c r="AQ101" s="79">
        <v>0</v>
      </c>
      <c r="AR101" s="79">
        <v>0</v>
      </c>
      <c r="AS101" s="79">
        <v>0</v>
      </c>
      <c r="AT101" s="79">
        <v>0</v>
      </c>
      <c r="AU101" s="79">
        <v>0</v>
      </c>
      <c r="AV101" s="79"/>
      <c r="AW101" s="79">
        <v>0</v>
      </c>
      <c r="AX101" s="79">
        <v>54557.138098972166</v>
      </c>
      <c r="AY101" s="79">
        <v>109114.27619794433</v>
      </c>
      <c r="AZ101" s="79">
        <v>218228.55239588866</v>
      </c>
      <c r="BA101" s="79">
        <v>0</v>
      </c>
      <c r="BB101" s="79">
        <v>0</v>
      </c>
      <c r="BC101" s="79">
        <v>0</v>
      </c>
      <c r="BD101" s="79">
        <v>545571.38098972163</v>
      </c>
      <c r="BE101" s="79">
        <v>0</v>
      </c>
      <c r="BF101" s="79">
        <v>109114.27619794433</v>
      </c>
      <c r="BG101" s="79">
        <v>0</v>
      </c>
      <c r="BH101" s="79">
        <v>0</v>
      </c>
      <c r="BI101" s="79">
        <v>0</v>
      </c>
      <c r="BJ101" s="79"/>
      <c r="BK101" s="79">
        <v>0</v>
      </c>
      <c r="BL101" s="79"/>
      <c r="BM101" s="79">
        <v>0</v>
      </c>
      <c r="BN101" s="79">
        <v>0</v>
      </c>
      <c r="BO101" s="79">
        <v>10950</v>
      </c>
      <c r="BP101" s="79">
        <v>0</v>
      </c>
      <c r="BQ101" s="79">
        <v>0</v>
      </c>
      <c r="BR101" s="79">
        <v>0</v>
      </c>
      <c r="BS101" s="79">
        <v>0</v>
      </c>
      <c r="BT101" s="79">
        <v>0</v>
      </c>
      <c r="BU101" s="79">
        <v>0</v>
      </c>
      <c r="BV101" s="80">
        <v>0</v>
      </c>
      <c r="BW101" s="80">
        <v>0</v>
      </c>
      <c r="BX101" s="80">
        <v>0</v>
      </c>
      <c r="BY101" s="80">
        <v>0</v>
      </c>
      <c r="BZ101" s="80">
        <v>0</v>
      </c>
      <c r="CA101" s="80">
        <v>0</v>
      </c>
      <c r="CB101" s="80">
        <v>0</v>
      </c>
      <c r="CC101" s="80">
        <v>0</v>
      </c>
      <c r="CD101" s="79">
        <v>0</v>
      </c>
      <c r="CE101" s="79">
        <v>0</v>
      </c>
      <c r="CF101" s="79">
        <v>0</v>
      </c>
      <c r="CG101" s="79">
        <v>0</v>
      </c>
      <c r="CH101" s="79">
        <v>0</v>
      </c>
      <c r="CI101" s="79">
        <v>0</v>
      </c>
      <c r="CJ101" s="79">
        <v>0</v>
      </c>
      <c r="CK101" s="79">
        <v>0</v>
      </c>
      <c r="CL101" s="79">
        <v>0</v>
      </c>
      <c r="CM101" s="79">
        <v>54082.8</v>
      </c>
      <c r="CN101" s="79">
        <v>0</v>
      </c>
      <c r="CO101" s="79">
        <v>0</v>
      </c>
      <c r="CP101" s="79">
        <v>0</v>
      </c>
      <c r="CQ101" s="79">
        <v>0</v>
      </c>
      <c r="CR101" s="79">
        <v>0</v>
      </c>
      <c r="CS101" s="79">
        <v>25243.307911392403</v>
      </c>
      <c r="CT101" s="79"/>
      <c r="CU101" s="79">
        <v>0</v>
      </c>
      <c r="CV101" s="79"/>
      <c r="CW101" s="79">
        <v>0</v>
      </c>
      <c r="CX101" s="79">
        <v>0</v>
      </c>
      <c r="CY101" s="79">
        <v>0</v>
      </c>
      <c r="CZ101" s="79">
        <v>0</v>
      </c>
      <c r="DA101" s="79">
        <v>47100</v>
      </c>
      <c r="DB101" s="79">
        <v>83486.604308192764</v>
      </c>
      <c r="DC101" s="82">
        <v>0</v>
      </c>
      <c r="DD101" s="79">
        <v>0</v>
      </c>
      <c r="DE101" s="79"/>
      <c r="DF101" s="79">
        <v>1800</v>
      </c>
      <c r="DG101" s="79">
        <v>0</v>
      </c>
      <c r="DH101" s="83">
        <v>0</v>
      </c>
      <c r="DI101" s="79">
        <v>11482.305913798853</v>
      </c>
      <c r="DJ101" s="79">
        <v>5408166.0853992607</v>
      </c>
      <c r="DK101" s="84">
        <v>22013.914600739256</v>
      </c>
      <c r="DL101" s="84">
        <v>0</v>
      </c>
      <c r="DM101" s="84">
        <f t="shared" si="54"/>
        <v>5430180</v>
      </c>
      <c r="DN101" s="84">
        <f>'[7]FY20 Initial Budget Alloca FTE'!F101*DN$1</f>
        <v>87209.984834123243</v>
      </c>
      <c r="DO101" s="81">
        <f t="shared" si="40"/>
        <v>0</v>
      </c>
      <c r="DP101" s="81">
        <f t="shared" si="55"/>
        <v>1800</v>
      </c>
      <c r="DQ101" s="74">
        <f t="shared" si="56"/>
        <v>85409.984834123243</v>
      </c>
      <c r="DR101" s="85">
        <f t="shared" si="64"/>
        <v>0.97936016152939742</v>
      </c>
      <c r="DS101" s="81">
        <f t="shared" si="57"/>
        <v>4219337.6766846655</v>
      </c>
      <c r="DT101" s="81">
        <f t="shared" si="67"/>
        <v>381899.96669280517</v>
      </c>
      <c r="DU101" s="81">
        <f t="shared" si="42"/>
        <v>654685.65718766593</v>
      </c>
      <c r="DV101" s="81">
        <f t="shared" si="69"/>
        <v>10950</v>
      </c>
      <c r="DW101" s="81">
        <f t="shared" si="43"/>
        <v>0</v>
      </c>
      <c r="DX101" s="81">
        <f t="shared" si="44"/>
        <v>0</v>
      </c>
      <c r="DY101" s="81">
        <f t="shared" si="45"/>
        <v>0</v>
      </c>
      <c r="DZ101" s="81">
        <f t="shared" si="46"/>
        <v>54082.8</v>
      </c>
      <c r="EA101" s="74">
        <f t="shared" si="47"/>
        <v>85409.984834123243</v>
      </c>
      <c r="EB101" s="81">
        <f t="shared" si="68"/>
        <v>0</v>
      </c>
      <c r="EC101" s="81">
        <f t="shared" si="68"/>
        <v>1800</v>
      </c>
      <c r="ED101" s="86">
        <f t="shared" si="58"/>
        <v>0.97936016152939742</v>
      </c>
      <c r="EE101" s="81">
        <f t="shared" si="59"/>
        <v>87209.984834123243</v>
      </c>
      <c r="EF101" s="81">
        <f t="shared" si="60"/>
        <v>5408166.0853992598</v>
      </c>
      <c r="EG101" s="81">
        <f t="shared" si="49"/>
        <v>0</v>
      </c>
      <c r="EH101" s="81">
        <v>4942211.6082605589</v>
      </c>
      <c r="EI101" s="84">
        <f t="shared" si="63"/>
        <v>5354083.2853992609</v>
      </c>
      <c r="EJ101" s="74">
        <f t="shared" si="50"/>
        <v>465954.47713870183</v>
      </c>
      <c r="EK101" s="74">
        <f t="shared" si="51"/>
        <v>411871.67713870201</v>
      </c>
      <c r="EM101" s="88">
        <f t="shared" si="52"/>
        <v>471</v>
      </c>
      <c r="EN101" s="74">
        <v>440</v>
      </c>
      <c r="EO101" s="74">
        <f t="shared" si="53"/>
        <v>31</v>
      </c>
      <c r="EP101" s="72">
        <v>463</v>
      </c>
      <c r="EQ101" s="74">
        <f t="shared" si="61"/>
        <v>23</v>
      </c>
      <c r="ER101" s="72">
        <v>446</v>
      </c>
      <c r="ES101" s="74">
        <f t="shared" si="62"/>
        <v>25</v>
      </c>
      <c r="ET101" s="74"/>
      <c r="EU101" s="74"/>
      <c r="EV101" s="74"/>
      <c r="EW101" s="89"/>
      <c r="EX101" s="81">
        <f t="shared" si="65"/>
        <v>5185503.373179676</v>
      </c>
      <c r="EY101" s="81">
        <f t="shared" si="66"/>
        <v>222662.71221958517</v>
      </c>
    </row>
    <row r="102" spans="1:155" x14ac:dyDescent="0.25">
      <c r="A102" s="76">
        <v>428</v>
      </c>
      <c r="B102" s="76" t="s">
        <v>243</v>
      </c>
      <c r="C102" s="77" t="s">
        <v>152</v>
      </c>
      <c r="D102" s="41">
        <v>6</v>
      </c>
      <c r="E102" s="78">
        <v>483</v>
      </c>
      <c r="F102" s="78">
        <v>166.48387096774192</v>
      </c>
      <c r="G102" s="79">
        <v>173177.12015668923</v>
      </c>
      <c r="H102" s="79">
        <v>109114.27619794433</v>
      </c>
      <c r="I102" s="79">
        <v>224632.3522507028</v>
      </c>
      <c r="J102" s="79">
        <v>130937.13143753319</v>
      </c>
      <c r="K102" s="79">
        <v>0</v>
      </c>
      <c r="L102" s="79">
        <v>81577.320156689224</v>
      </c>
      <c r="M102" s="79">
        <v>59319.676384927567</v>
      </c>
      <c r="N102" s="79">
        <v>53562.391661913083</v>
      </c>
      <c r="O102" s="79">
        <v>0</v>
      </c>
      <c r="P102" s="79">
        <v>0</v>
      </c>
      <c r="Q102" s="79"/>
      <c r="R102" s="79">
        <v>69375.836746740591</v>
      </c>
      <c r="S102" s="79">
        <v>54629.386746740587</v>
      </c>
      <c r="T102" s="79">
        <v>146876.21024022176</v>
      </c>
      <c r="U102" s="79">
        <v>109114.27619794433</v>
      </c>
      <c r="V102" s="79">
        <v>0</v>
      </c>
      <c r="W102" s="79">
        <v>0</v>
      </c>
      <c r="X102" s="79">
        <v>0</v>
      </c>
      <c r="Y102" s="79">
        <v>0</v>
      </c>
      <c r="Z102" s="79"/>
      <c r="AA102" s="79">
        <v>0</v>
      </c>
      <c r="AB102" s="79">
        <v>0</v>
      </c>
      <c r="AC102" s="79">
        <v>0</v>
      </c>
      <c r="AD102" s="79">
        <v>0</v>
      </c>
      <c r="AE102" s="79">
        <v>0</v>
      </c>
      <c r="AF102" s="79">
        <v>0</v>
      </c>
      <c r="AG102" s="79">
        <v>0</v>
      </c>
      <c r="AH102" s="79">
        <v>0</v>
      </c>
      <c r="AI102" s="79">
        <v>0</v>
      </c>
      <c r="AJ102" s="79">
        <v>0</v>
      </c>
      <c r="AK102" s="79">
        <v>0</v>
      </c>
      <c r="AL102" s="79">
        <v>0</v>
      </c>
      <c r="AM102" s="79">
        <v>0</v>
      </c>
      <c r="AN102" s="79">
        <v>905648.49244293803</v>
      </c>
      <c r="AO102" s="79">
        <v>851091.35434396577</v>
      </c>
      <c r="AP102" s="79">
        <v>643774.22956787155</v>
      </c>
      <c r="AQ102" s="79">
        <v>0</v>
      </c>
      <c r="AR102" s="79">
        <v>0</v>
      </c>
      <c r="AS102" s="79">
        <v>0</v>
      </c>
      <c r="AT102" s="79">
        <v>0</v>
      </c>
      <c r="AU102" s="79">
        <v>0</v>
      </c>
      <c r="AV102" s="79"/>
      <c r="AW102" s="79">
        <v>0</v>
      </c>
      <c r="AX102" s="79">
        <v>109114.27619794433</v>
      </c>
      <c r="AY102" s="79">
        <v>109114.27619794433</v>
      </c>
      <c r="AZ102" s="79">
        <v>872914.20958355465</v>
      </c>
      <c r="BA102" s="79">
        <v>103207.87915478271</v>
      </c>
      <c r="BB102" s="79">
        <v>0</v>
      </c>
      <c r="BC102" s="79">
        <v>0</v>
      </c>
      <c r="BD102" s="79">
        <v>109114.27619794433</v>
      </c>
      <c r="BE102" s="79">
        <v>0</v>
      </c>
      <c r="BF102" s="79">
        <v>0</v>
      </c>
      <c r="BG102" s="79">
        <v>0</v>
      </c>
      <c r="BH102" s="79">
        <v>0</v>
      </c>
      <c r="BI102" s="79">
        <v>0</v>
      </c>
      <c r="BJ102" s="79"/>
      <c r="BK102" s="79">
        <v>0</v>
      </c>
      <c r="BL102" s="79"/>
      <c r="BM102" s="79">
        <v>92732.12</v>
      </c>
      <c r="BN102" s="79">
        <v>1475.61</v>
      </c>
      <c r="BO102" s="79">
        <v>0</v>
      </c>
      <c r="BP102" s="79">
        <v>0</v>
      </c>
      <c r="BQ102" s="79">
        <v>109114.27619794433</v>
      </c>
      <c r="BR102" s="79">
        <v>140395.22015668923</v>
      </c>
      <c r="BS102" s="79">
        <v>0</v>
      </c>
      <c r="BT102" s="79">
        <v>0</v>
      </c>
      <c r="BU102" s="79">
        <v>0</v>
      </c>
      <c r="BV102" s="80">
        <v>0</v>
      </c>
      <c r="BW102" s="80">
        <v>0</v>
      </c>
      <c r="BX102" s="80">
        <v>0</v>
      </c>
      <c r="BY102" s="80">
        <v>0</v>
      </c>
      <c r="BZ102" s="80">
        <v>0</v>
      </c>
      <c r="CA102" s="80">
        <v>0</v>
      </c>
      <c r="CB102" s="80">
        <v>0</v>
      </c>
      <c r="CC102" s="80">
        <v>0</v>
      </c>
      <c r="CD102" s="79">
        <v>0</v>
      </c>
      <c r="CE102" s="79">
        <v>0</v>
      </c>
      <c r="CF102" s="79">
        <v>0</v>
      </c>
      <c r="CG102" s="79">
        <v>0</v>
      </c>
      <c r="CH102" s="79">
        <v>0</v>
      </c>
      <c r="CI102" s="79">
        <v>327342.82859383302</v>
      </c>
      <c r="CJ102" s="79">
        <v>0</v>
      </c>
      <c r="CK102" s="79">
        <v>23000</v>
      </c>
      <c r="CL102" s="79">
        <v>5000</v>
      </c>
      <c r="CM102" s="79">
        <v>227444.6</v>
      </c>
      <c r="CN102" s="79">
        <v>100000</v>
      </c>
      <c r="CO102" s="79">
        <v>0</v>
      </c>
      <c r="CP102" s="79">
        <v>0</v>
      </c>
      <c r="CQ102" s="79">
        <v>3329.6774193548385</v>
      </c>
      <c r="CR102" s="79">
        <v>0</v>
      </c>
      <c r="CS102" s="79">
        <v>37457.4</v>
      </c>
      <c r="CT102" s="79"/>
      <c r="CU102" s="79">
        <v>0</v>
      </c>
      <c r="CV102" s="79"/>
      <c r="CW102" s="79">
        <v>0</v>
      </c>
      <c r="CX102" s="79">
        <v>0</v>
      </c>
      <c r="CY102" s="79">
        <v>0</v>
      </c>
      <c r="CZ102" s="79">
        <v>0</v>
      </c>
      <c r="DA102" s="79">
        <v>48300</v>
      </c>
      <c r="DB102" s="79">
        <v>90049.671478696706</v>
      </c>
      <c r="DC102" s="82">
        <v>0</v>
      </c>
      <c r="DD102" s="79">
        <v>0</v>
      </c>
      <c r="DE102" s="79"/>
      <c r="DF102" s="79">
        <v>34500</v>
      </c>
      <c r="DG102" s="79">
        <v>0</v>
      </c>
      <c r="DH102" s="83">
        <v>0</v>
      </c>
      <c r="DI102" s="79">
        <v>12746.245084288845</v>
      </c>
      <c r="DJ102" s="79">
        <v>6156436.3757115128</v>
      </c>
      <c r="DK102" s="84">
        <v>1.6342884870246053</v>
      </c>
      <c r="DL102" s="84">
        <v>0</v>
      </c>
      <c r="DM102" s="84">
        <f t="shared" si="54"/>
        <v>6156438.0099999998</v>
      </c>
      <c r="DN102" s="84">
        <f>'[7]FY20 Initial Budget Alloca FTE'!F102*DN$1</f>
        <v>365575.27290322579</v>
      </c>
      <c r="DO102" s="81">
        <f t="shared" si="40"/>
        <v>0</v>
      </c>
      <c r="DP102" s="81">
        <f t="shared" si="55"/>
        <v>178224.89757604408</v>
      </c>
      <c r="DQ102" s="74">
        <f t="shared" si="56"/>
        <v>187350.37532718171</v>
      </c>
      <c r="DR102" s="85">
        <f t="shared" si="64"/>
        <v>0.51248098329882574</v>
      </c>
      <c r="DS102" s="81">
        <f t="shared" si="57"/>
        <v>4165743.8554761154</v>
      </c>
      <c r="DT102" s="81">
        <f t="shared" si="67"/>
        <v>1194350.641134226</v>
      </c>
      <c r="DU102" s="81">
        <f t="shared" si="42"/>
        <v>109114.27619794433</v>
      </c>
      <c r="DV102" s="81">
        <f t="shared" si="69"/>
        <v>94207.73</v>
      </c>
      <c r="DW102" s="81">
        <f t="shared" si="43"/>
        <v>0</v>
      </c>
      <c r="DX102" s="81">
        <f t="shared" si="44"/>
        <v>0</v>
      </c>
      <c r="DY102" s="81">
        <f t="shared" si="45"/>
        <v>0</v>
      </c>
      <c r="DZ102" s="81">
        <f t="shared" si="46"/>
        <v>227444.6</v>
      </c>
      <c r="EA102" s="74">
        <f t="shared" si="47"/>
        <v>187350.37532718171</v>
      </c>
      <c r="EB102" s="81">
        <f t="shared" si="68"/>
        <v>0</v>
      </c>
      <c r="EC102" s="81">
        <f t="shared" si="68"/>
        <v>178224.89757604408</v>
      </c>
      <c r="ED102" s="86">
        <f t="shared" si="58"/>
        <v>0.51248098329882574</v>
      </c>
      <c r="EE102" s="81">
        <f t="shared" si="59"/>
        <v>365575.27290322579</v>
      </c>
      <c r="EF102" s="81">
        <f t="shared" si="60"/>
        <v>6156436.3757115128</v>
      </c>
      <c r="EG102" s="81">
        <f t="shared" si="49"/>
        <v>0</v>
      </c>
      <c r="EH102" s="81">
        <v>5158649.7129244916</v>
      </c>
      <c r="EI102" s="84">
        <f t="shared" si="63"/>
        <v>5928991.7757115131</v>
      </c>
      <c r="EJ102" s="74">
        <f t="shared" si="50"/>
        <v>997786.66278702114</v>
      </c>
      <c r="EK102" s="74">
        <f t="shared" si="51"/>
        <v>770342.06278702151</v>
      </c>
      <c r="EM102" s="88">
        <f t="shared" si="52"/>
        <v>483</v>
      </c>
      <c r="EN102" s="74">
        <v>428</v>
      </c>
      <c r="EO102" s="74">
        <f t="shared" si="53"/>
        <v>55</v>
      </c>
      <c r="EP102" s="72">
        <v>454</v>
      </c>
      <c r="EQ102" s="74">
        <f t="shared" si="61"/>
        <v>26</v>
      </c>
      <c r="ER102" s="72">
        <v>450</v>
      </c>
      <c r="ES102" s="74">
        <f t="shared" si="62"/>
        <v>33</v>
      </c>
      <c r="ET102" s="74"/>
      <c r="EU102" s="74"/>
      <c r="EV102" s="74"/>
      <c r="EW102" s="89"/>
      <c r="EX102" s="81">
        <f t="shared" si="65"/>
        <v>5493147.2968134601</v>
      </c>
      <c r="EY102" s="81">
        <f t="shared" si="66"/>
        <v>663289.07889805164</v>
      </c>
    </row>
    <row r="103" spans="1:155" x14ac:dyDescent="0.25">
      <c r="A103" s="76">
        <v>324</v>
      </c>
      <c r="B103" s="76" t="s">
        <v>244</v>
      </c>
      <c r="C103" s="77" t="s">
        <v>150</v>
      </c>
      <c r="D103" s="41">
        <v>4</v>
      </c>
      <c r="E103" s="78">
        <v>500</v>
      </c>
      <c r="F103" s="78">
        <v>248.11134903640257</v>
      </c>
      <c r="G103" s="79">
        <v>173177.12015668923</v>
      </c>
      <c r="H103" s="79">
        <v>109114.27619794433</v>
      </c>
      <c r="I103" s="79">
        <v>182513.78620369601</v>
      </c>
      <c r="J103" s="79">
        <v>109114.27619794433</v>
      </c>
      <c r="K103" s="79">
        <v>0</v>
      </c>
      <c r="L103" s="79">
        <v>81577.320156689224</v>
      </c>
      <c r="M103" s="79">
        <v>59319.676384927567</v>
      </c>
      <c r="N103" s="79">
        <v>58025.924300405837</v>
      </c>
      <c r="O103" s="79">
        <v>0</v>
      </c>
      <c r="P103" s="79">
        <v>0</v>
      </c>
      <c r="Q103" s="79"/>
      <c r="R103" s="79">
        <v>69375.836746740591</v>
      </c>
      <c r="S103" s="79">
        <v>54629.386746740587</v>
      </c>
      <c r="T103" s="79">
        <v>146876.21024022176</v>
      </c>
      <c r="U103" s="79">
        <v>109114.27619794433</v>
      </c>
      <c r="V103" s="79">
        <v>109114.27619794433</v>
      </c>
      <c r="W103" s="79">
        <v>109114.27619794433</v>
      </c>
      <c r="X103" s="79">
        <v>109114.27619794433</v>
      </c>
      <c r="Y103" s="79">
        <v>163671.41429691651</v>
      </c>
      <c r="Z103" s="79"/>
      <c r="AA103" s="79">
        <v>218228.55239588866</v>
      </c>
      <c r="AB103" s="79">
        <v>68805.252769855142</v>
      </c>
      <c r="AC103" s="79">
        <v>218228.55239588866</v>
      </c>
      <c r="AD103" s="79">
        <v>68805.252769855142</v>
      </c>
      <c r="AE103" s="79">
        <v>218228.55239588866</v>
      </c>
      <c r="AF103" s="79">
        <v>68805.252769855142</v>
      </c>
      <c r="AG103" s="79">
        <v>327342.82859383302</v>
      </c>
      <c r="AH103" s="79">
        <v>103207.87915478271</v>
      </c>
      <c r="AI103" s="79">
        <v>327342.82859383302</v>
      </c>
      <c r="AJ103" s="79">
        <v>218228.55239588866</v>
      </c>
      <c r="AK103" s="79">
        <v>218228.55239588866</v>
      </c>
      <c r="AL103" s="79">
        <v>218228.55239588866</v>
      </c>
      <c r="AM103" s="79">
        <v>218228.55239588866</v>
      </c>
      <c r="AN103" s="79">
        <v>0</v>
      </c>
      <c r="AO103" s="79">
        <v>305519.97335424408</v>
      </c>
      <c r="AP103" s="79">
        <v>185494.26953650537</v>
      </c>
      <c r="AQ103" s="79">
        <v>0</v>
      </c>
      <c r="AR103" s="79">
        <v>0</v>
      </c>
      <c r="AS103" s="79">
        <v>0</v>
      </c>
      <c r="AT103" s="79">
        <v>0</v>
      </c>
      <c r="AU103" s="79">
        <v>0</v>
      </c>
      <c r="AV103" s="79"/>
      <c r="AW103" s="79">
        <v>0</v>
      </c>
      <c r="AX103" s="79">
        <v>109114.27619794433</v>
      </c>
      <c r="AY103" s="79">
        <v>218228.55239588866</v>
      </c>
      <c r="AZ103" s="79">
        <v>872914.20958355465</v>
      </c>
      <c r="BA103" s="79">
        <v>275221.01107942057</v>
      </c>
      <c r="BB103" s="79">
        <v>0</v>
      </c>
      <c r="BC103" s="79">
        <v>105202</v>
      </c>
      <c r="BD103" s="79">
        <v>872914.20958355465</v>
      </c>
      <c r="BE103" s="79">
        <v>0</v>
      </c>
      <c r="BF103" s="79">
        <v>109114.27619794433</v>
      </c>
      <c r="BG103" s="79">
        <f>65846-BL103</f>
        <v>18335.300000000003</v>
      </c>
      <c r="BH103" s="79">
        <v>61732</v>
      </c>
      <c r="BI103" s="79">
        <v>6734</v>
      </c>
      <c r="BJ103" s="79"/>
      <c r="BK103" s="79">
        <v>0</v>
      </c>
      <c r="BL103" s="79">
        <v>47510.7</v>
      </c>
      <c r="BM103" s="79">
        <v>224859.06</v>
      </c>
      <c r="BN103" s="79">
        <v>3578.09</v>
      </c>
      <c r="BO103" s="79">
        <v>0</v>
      </c>
      <c r="BP103" s="79">
        <v>0</v>
      </c>
      <c r="BQ103" s="79">
        <v>0</v>
      </c>
      <c r="BR103" s="79">
        <v>0</v>
      </c>
      <c r="BS103" s="79">
        <v>0</v>
      </c>
      <c r="BT103" s="79">
        <v>0</v>
      </c>
      <c r="BU103" s="79">
        <v>0</v>
      </c>
      <c r="BV103" s="80">
        <v>0</v>
      </c>
      <c r="BW103" s="80">
        <v>0</v>
      </c>
      <c r="BX103" s="80">
        <v>0</v>
      </c>
      <c r="BY103" s="80">
        <v>0</v>
      </c>
      <c r="BZ103" s="80">
        <v>0</v>
      </c>
      <c r="CA103" s="80">
        <v>0</v>
      </c>
      <c r="CB103" s="80">
        <v>0</v>
      </c>
      <c r="CC103" s="80">
        <v>0</v>
      </c>
      <c r="CD103" s="79">
        <v>0</v>
      </c>
      <c r="CE103" s="79">
        <v>0</v>
      </c>
      <c r="CF103" s="79">
        <v>0</v>
      </c>
      <c r="CG103" s="79">
        <v>0</v>
      </c>
      <c r="CH103" s="79">
        <v>0</v>
      </c>
      <c r="CI103" s="79">
        <v>218228.55239588866</v>
      </c>
      <c r="CJ103" s="79">
        <v>0</v>
      </c>
      <c r="CK103" s="79">
        <v>23000</v>
      </c>
      <c r="CL103" s="79">
        <v>5000</v>
      </c>
      <c r="CM103" s="79">
        <v>108165.6</v>
      </c>
      <c r="CN103" s="79">
        <v>100000</v>
      </c>
      <c r="CO103" s="79">
        <v>0</v>
      </c>
      <c r="CP103" s="79">
        <v>0</v>
      </c>
      <c r="CQ103" s="79">
        <v>4962.2269807280518</v>
      </c>
      <c r="CR103" s="79">
        <v>0</v>
      </c>
      <c r="CS103" s="79">
        <v>31717.911111111112</v>
      </c>
      <c r="CT103" s="79"/>
      <c r="CU103" s="79">
        <v>0</v>
      </c>
      <c r="CV103" s="79"/>
      <c r="CW103" s="79">
        <v>0</v>
      </c>
      <c r="CX103" s="79">
        <v>0</v>
      </c>
      <c r="CY103" s="79">
        <v>0</v>
      </c>
      <c r="CZ103" s="79">
        <v>0</v>
      </c>
      <c r="DA103" s="79">
        <v>50000</v>
      </c>
      <c r="DB103" s="79">
        <v>120874.17646911886</v>
      </c>
      <c r="DC103" s="82">
        <v>0</v>
      </c>
      <c r="DD103" s="79">
        <v>0</v>
      </c>
      <c r="DE103" s="79"/>
      <c r="DF103" s="79">
        <v>45500</v>
      </c>
      <c r="DG103" s="79">
        <v>0</v>
      </c>
      <c r="DH103" s="83">
        <v>0</v>
      </c>
      <c r="DI103" s="79">
        <v>16519.363777459665</v>
      </c>
      <c r="DJ103" s="79">
        <v>8259681.8887298303</v>
      </c>
      <c r="DK103" s="84">
        <v>1.2701693922281265E-3</v>
      </c>
      <c r="DL103" s="84">
        <v>0</v>
      </c>
      <c r="DM103" s="84">
        <f t="shared" si="54"/>
        <v>8259681.8899999997</v>
      </c>
      <c r="DN103" s="84">
        <f>'[7]FY20 Initial Budget Alloca FTE'!F103*DN$1</f>
        <v>544817.786895075</v>
      </c>
      <c r="DO103" s="81">
        <f t="shared" si="40"/>
        <v>86801.3</v>
      </c>
      <c r="DP103" s="81">
        <f t="shared" si="55"/>
        <v>50462.226980728054</v>
      </c>
      <c r="DQ103" s="74">
        <f t="shared" si="56"/>
        <v>407554.25991434697</v>
      </c>
      <c r="DR103" s="85">
        <f t="shared" si="64"/>
        <v>0.74805608355227349</v>
      </c>
      <c r="DS103" s="81">
        <f t="shared" si="57"/>
        <v>4768042.1167964488</v>
      </c>
      <c r="DT103" s="81">
        <f t="shared" si="67"/>
        <v>1580680.0492568084</v>
      </c>
      <c r="DU103" s="81">
        <f t="shared" si="42"/>
        <v>982028.48578149895</v>
      </c>
      <c r="DV103" s="81">
        <f t="shared" si="69"/>
        <v>275947.85000000003</v>
      </c>
      <c r="DW103" s="81">
        <f t="shared" si="43"/>
        <v>0</v>
      </c>
      <c r="DX103" s="81">
        <f t="shared" si="44"/>
        <v>0</v>
      </c>
      <c r="DY103" s="81">
        <f t="shared" si="45"/>
        <v>0</v>
      </c>
      <c r="DZ103" s="81">
        <f t="shared" si="46"/>
        <v>108165.6</v>
      </c>
      <c r="EA103" s="74">
        <f t="shared" si="47"/>
        <v>407554.25991434697</v>
      </c>
      <c r="EB103" s="81">
        <f t="shared" si="68"/>
        <v>86801.3</v>
      </c>
      <c r="EC103" s="81">
        <f t="shared" si="68"/>
        <v>50462.226980728054</v>
      </c>
      <c r="ED103" s="86">
        <f t="shared" si="58"/>
        <v>0.74805608355227349</v>
      </c>
      <c r="EE103" s="81">
        <f t="shared" si="59"/>
        <v>544817.786895075</v>
      </c>
      <c r="EF103" s="81">
        <f t="shared" si="60"/>
        <v>8259681.8887298303</v>
      </c>
      <c r="EG103" s="81">
        <f t="shared" si="49"/>
        <v>0</v>
      </c>
      <c r="EH103" s="81">
        <v>7612451.2344255783</v>
      </c>
      <c r="EI103" s="84">
        <f t="shared" si="63"/>
        <v>8151516.2887298306</v>
      </c>
      <c r="EJ103" s="74">
        <f t="shared" si="50"/>
        <v>647230.65430425201</v>
      </c>
      <c r="EK103" s="74">
        <f>EI103-EH103</f>
        <v>539065.05430425238</v>
      </c>
      <c r="EM103" s="88">
        <f t="shared" si="52"/>
        <v>500</v>
      </c>
      <c r="EN103" s="74">
        <v>514</v>
      </c>
      <c r="EO103" s="74">
        <f t="shared" si="53"/>
        <v>-14</v>
      </c>
      <c r="EP103" s="72">
        <v>508</v>
      </c>
      <c r="EQ103" s="74">
        <f t="shared" si="61"/>
        <v>-6</v>
      </c>
      <c r="ER103" s="72">
        <v>502</v>
      </c>
      <c r="ES103" s="74">
        <f t="shared" si="62"/>
        <v>-2</v>
      </c>
      <c r="ET103" s="74"/>
      <c r="EU103" s="74"/>
      <c r="EV103" s="74"/>
      <c r="EW103" s="89"/>
      <c r="EX103" s="81">
        <f t="shared" si="65"/>
        <v>7494514.1241688728</v>
      </c>
      <c r="EY103" s="81">
        <f t="shared" si="66"/>
        <v>765167.76456095814</v>
      </c>
    </row>
    <row r="104" spans="1:155" x14ac:dyDescent="0.25">
      <c r="A104" s="76">
        <v>325</v>
      </c>
      <c r="B104" s="76" t="s">
        <v>245</v>
      </c>
      <c r="C104" s="77" t="s">
        <v>135</v>
      </c>
      <c r="D104" s="41">
        <v>7</v>
      </c>
      <c r="E104" s="78">
        <v>327</v>
      </c>
      <c r="F104" s="78">
        <v>281</v>
      </c>
      <c r="G104" s="79">
        <v>173177.12015668923</v>
      </c>
      <c r="H104" s="79">
        <v>109114.27619794433</v>
      </c>
      <c r="I104" s="79">
        <v>112316.1761253514</v>
      </c>
      <c r="J104" s="79">
        <v>0</v>
      </c>
      <c r="K104" s="79">
        <v>0</v>
      </c>
      <c r="L104" s="79">
        <v>81577.320156689224</v>
      </c>
      <c r="M104" s="79">
        <v>59319.676384927567</v>
      </c>
      <c r="N104" s="79">
        <v>0</v>
      </c>
      <c r="O104" s="79">
        <v>0</v>
      </c>
      <c r="P104" s="79">
        <v>0</v>
      </c>
      <c r="Q104" s="79"/>
      <c r="R104" s="79">
        <v>69375.836746740591</v>
      </c>
      <c r="S104" s="79">
        <v>54629.386746740587</v>
      </c>
      <c r="T104" s="79">
        <v>97917.473493481171</v>
      </c>
      <c r="U104" s="79">
        <v>109114.27619794433</v>
      </c>
      <c r="V104" s="79">
        <v>109114.27619794433</v>
      </c>
      <c r="W104" s="79">
        <v>109114.27619794433</v>
      </c>
      <c r="X104" s="79">
        <v>109114.27619794433</v>
      </c>
      <c r="Y104" s="79">
        <v>0</v>
      </c>
      <c r="Z104" s="79"/>
      <c r="AA104" s="79">
        <v>218228.55239588866</v>
      </c>
      <c r="AB104" s="79">
        <v>68805.252769855142</v>
      </c>
      <c r="AC104" s="79">
        <v>218228.55239588866</v>
      </c>
      <c r="AD104" s="79">
        <v>68805.252769855142</v>
      </c>
      <c r="AE104" s="79">
        <v>109114.27619794433</v>
      </c>
      <c r="AF104" s="79">
        <v>34402.626384927571</v>
      </c>
      <c r="AG104" s="79">
        <v>218228.55239588866</v>
      </c>
      <c r="AH104" s="79">
        <v>68805.252769855142</v>
      </c>
      <c r="AI104" s="79">
        <v>218228.55239588866</v>
      </c>
      <c r="AJ104" s="79">
        <v>218228.55239588866</v>
      </c>
      <c r="AK104" s="79">
        <v>218228.55239588866</v>
      </c>
      <c r="AL104" s="79">
        <v>218228.55239588866</v>
      </c>
      <c r="AM104" s="79">
        <v>218228.55239588866</v>
      </c>
      <c r="AN104" s="79">
        <v>0</v>
      </c>
      <c r="AO104" s="79">
        <v>0</v>
      </c>
      <c r="AP104" s="79">
        <v>0</v>
      </c>
      <c r="AQ104" s="79">
        <v>0</v>
      </c>
      <c r="AR104" s="79">
        <v>0</v>
      </c>
      <c r="AS104" s="79">
        <v>0</v>
      </c>
      <c r="AT104" s="79">
        <v>0</v>
      </c>
      <c r="AU104" s="79">
        <v>0</v>
      </c>
      <c r="AV104" s="79"/>
      <c r="AW104" s="79">
        <v>0</v>
      </c>
      <c r="AX104" s="79">
        <v>109114.27619794433</v>
      </c>
      <c r="AY104" s="79">
        <v>163671.41429691651</v>
      </c>
      <c r="AZ104" s="79">
        <v>872914.20958355465</v>
      </c>
      <c r="BA104" s="79">
        <v>172013.13192463786</v>
      </c>
      <c r="BB104" s="79">
        <v>0</v>
      </c>
      <c r="BC104" s="79">
        <v>0</v>
      </c>
      <c r="BD104" s="79">
        <v>49597.398271792874</v>
      </c>
      <c r="BE104" s="79">
        <v>0</v>
      </c>
      <c r="BF104" s="79">
        <v>0</v>
      </c>
      <c r="BG104" s="79">
        <f>29930-BL104</f>
        <v>6735.7999999999993</v>
      </c>
      <c r="BH104" s="79">
        <v>28060</v>
      </c>
      <c r="BI104" s="79">
        <v>6734</v>
      </c>
      <c r="BJ104" s="79"/>
      <c r="BK104" s="79">
        <v>0</v>
      </c>
      <c r="BL104" s="79">
        <v>23194.2</v>
      </c>
      <c r="BM104" s="79">
        <v>182549.43</v>
      </c>
      <c r="BN104" s="79">
        <v>2904.83</v>
      </c>
      <c r="BO104" s="79">
        <v>0</v>
      </c>
      <c r="BP104" s="79">
        <v>0</v>
      </c>
      <c r="BQ104" s="79">
        <v>0</v>
      </c>
      <c r="BR104" s="79">
        <v>0</v>
      </c>
      <c r="BS104" s="79">
        <v>0</v>
      </c>
      <c r="BT104" s="79">
        <v>109114.27619794433</v>
      </c>
      <c r="BU104" s="79">
        <v>0</v>
      </c>
      <c r="BV104" s="80">
        <v>0</v>
      </c>
      <c r="BW104" s="80">
        <v>0</v>
      </c>
      <c r="BX104" s="80">
        <v>0</v>
      </c>
      <c r="BY104" s="80">
        <v>0</v>
      </c>
      <c r="BZ104" s="80">
        <v>0</v>
      </c>
      <c r="CA104" s="80">
        <v>0</v>
      </c>
      <c r="CB104" s="80">
        <v>0</v>
      </c>
      <c r="CC104" s="80">
        <v>0</v>
      </c>
      <c r="CD104" s="79">
        <v>0</v>
      </c>
      <c r="CE104" s="79">
        <v>0</v>
      </c>
      <c r="CF104" s="79">
        <v>0</v>
      </c>
      <c r="CG104" s="79">
        <v>0</v>
      </c>
      <c r="CH104" s="79">
        <v>0</v>
      </c>
      <c r="CI104" s="79">
        <v>0</v>
      </c>
      <c r="CJ104" s="79">
        <v>0</v>
      </c>
      <c r="CK104" s="79">
        <v>0</v>
      </c>
      <c r="CL104" s="79">
        <v>0</v>
      </c>
      <c r="CM104" s="79">
        <v>57070.8</v>
      </c>
      <c r="CN104" s="79">
        <v>0</v>
      </c>
      <c r="CO104" s="79">
        <v>0</v>
      </c>
      <c r="CP104" s="79">
        <v>75000</v>
      </c>
      <c r="CQ104" s="79">
        <v>11240</v>
      </c>
      <c r="CR104" s="79">
        <v>0</v>
      </c>
      <c r="CS104" s="79">
        <v>19048.145569620254</v>
      </c>
      <c r="CT104" s="79"/>
      <c r="CU104" s="79">
        <v>0</v>
      </c>
      <c r="CV104" s="79"/>
      <c r="CW104" s="79">
        <v>0</v>
      </c>
      <c r="CX104" s="79">
        <v>0</v>
      </c>
      <c r="CY104" s="79">
        <v>0</v>
      </c>
      <c r="CZ104" s="79">
        <v>0</v>
      </c>
      <c r="DA104" s="79">
        <v>32700</v>
      </c>
      <c r="DB104" s="79">
        <v>74976.989686269211</v>
      </c>
      <c r="DC104" s="82">
        <v>0</v>
      </c>
      <c r="DD104" s="79">
        <v>15363.214285714286</v>
      </c>
      <c r="DE104" s="79"/>
      <c r="DF104" s="79">
        <v>24600</v>
      </c>
      <c r="DG104" s="79">
        <v>0</v>
      </c>
      <c r="DH104" s="83"/>
      <c r="DI104" s="79">
        <v>16288.218858942761</v>
      </c>
      <c r="DJ104" s="79">
        <v>5326247.5668742824</v>
      </c>
      <c r="DK104" s="84">
        <v>105286.43312571757</v>
      </c>
      <c r="DL104" s="84">
        <v>193053.25</v>
      </c>
      <c r="DM104" s="84">
        <f t="shared" si="54"/>
        <v>5624587.25</v>
      </c>
      <c r="DN104" s="84">
        <f>'[7]FY20 Initial Budget Alloca FTE'!F104*DN$1</f>
        <v>617036.66</v>
      </c>
      <c r="DO104" s="81">
        <f t="shared" si="40"/>
        <v>41529.800000000003</v>
      </c>
      <c r="DP104" s="81">
        <f t="shared" si="55"/>
        <v>219954.27619794433</v>
      </c>
      <c r="DQ104" s="74">
        <f t="shared" si="56"/>
        <v>355552.58380205574</v>
      </c>
      <c r="DR104" s="85">
        <f t="shared" si="64"/>
        <v>0.57622602812944002</v>
      </c>
      <c r="DS104" s="81">
        <f t="shared" si="57"/>
        <v>3060818.0023137215</v>
      </c>
      <c r="DT104" s="81">
        <f t="shared" si="67"/>
        <v>1317713.0320030532</v>
      </c>
      <c r="DU104" s="81">
        <f t="shared" si="42"/>
        <v>49597.398271792874</v>
      </c>
      <c r="DV104" s="81">
        <f t="shared" si="69"/>
        <v>208648.46</v>
      </c>
      <c r="DW104" s="81">
        <f t="shared" si="43"/>
        <v>15363.214285714286</v>
      </c>
      <c r="DX104" s="81">
        <f t="shared" si="44"/>
        <v>0</v>
      </c>
      <c r="DY104" s="81">
        <f t="shared" si="45"/>
        <v>0</v>
      </c>
      <c r="DZ104" s="81">
        <f t="shared" si="46"/>
        <v>57070.8</v>
      </c>
      <c r="EA104" s="74">
        <f t="shared" si="47"/>
        <v>355552.58380205574</v>
      </c>
      <c r="EB104" s="81">
        <f t="shared" si="68"/>
        <v>41529.800000000003</v>
      </c>
      <c r="EC104" s="81">
        <f t="shared" si="68"/>
        <v>219954.27619794433</v>
      </c>
      <c r="ED104" s="86">
        <f t="shared" si="58"/>
        <v>0.57622602812944002</v>
      </c>
      <c r="EE104" s="81">
        <f t="shared" si="59"/>
        <v>617036.66</v>
      </c>
      <c r="EF104" s="81">
        <f t="shared" si="60"/>
        <v>5326247.5668742815</v>
      </c>
      <c r="EG104" s="81">
        <f t="shared" si="49"/>
        <v>0</v>
      </c>
      <c r="EH104" s="81">
        <v>5805676.5148612913</v>
      </c>
      <c r="EI104" s="84">
        <f t="shared" si="63"/>
        <v>5269176.7668742826</v>
      </c>
      <c r="EJ104" s="74">
        <f t="shared" si="50"/>
        <v>-479428.94798700884</v>
      </c>
      <c r="EK104" s="74">
        <f t="shared" si="51"/>
        <v>-536499.74798700865</v>
      </c>
      <c r="EM104" s="88">
        <f t="shared" si="52"/>
        <v>327</v>
      </c>
      <c r="EN104" s="74">
        <v>377</v>
      </c>
      <c r="EO104" s="74">
        <f t="shared" si="53"/>
        <v>-50</v>
      </c>
      <c r="EP104" s="72">
        <v>355</v>
      </c>
      <c r="EQ104" s="74">
        <f t="shared" si="61"/>
        <v>-22</v>
      </c>
      <c r="ER104" s="72">
        <v>384</v>
      </c>
      <c r="ES104" s="74">
        <f t="shared" si="62"/>
        <v>-57</v>
      </c>
      <c r="ET104" s="74"/>
      <c r="EU104" s="74"/>
      <c r="EV104" s="74"/>
      <c r="EW104" s="89"/>
      <c r="EX104" s="81">
        <f t="shared" si="65"/>
        <v>4807599.9573326781</v>
      </c>
      <c r="EY104" s="81">
        <f t="shared" si="66"/>
        <v>518647.60954160371</v>
      </c>
    </row>
    <row r="105" spans="1:155" x14ac:dyDescent="0.25">
      <c r="A105" s="76">
        <v>326</v>
      </c>
      <c r="B105" s="76" t="s">
        <v>246</v>
      </c>
      <c r="C105" s="77" t="s">
        <v>135</v>
      </c>
      <c r="D105" s="41">
        <v>2</v>
      </c>
      <c r="E105" s="78">
        <v>336</v>
      </c>
      <c r="F105" s="78">
        <v>149.89473684210529</v>
      </c>
      <c r="G105" s="79">
        <v>173177.12015668923</v>
      </c>
      <c r="H105" s="79">
        <v>109114.27619794433</v>
      </c>
      <c r="I105" s="79">
        <v>112316.1761253514</v>
      </c>
      <c r="J105" s="79">
        <v>0</v>
      </c>
      <c r="K105" s="79">
        <v>0</v>
      </c>
      <c r="L105" s="79">
        <v>81577.320156689224</v>
      </c>
      <c r="M105" s="79">
        <v>59319.676384927567</v>
      </c>
      <c r="N105" s="79">
        <v>0</v>
      </c>
      <c r="O105" s="79">
        <v>0</v>
      </c>
      <c r="P105" s="79">
        <v>0</v>
      </c>
      <c r="Q105" s="79"/>
      <c r="R105" s="79">
        <v>69375.836746740591</v>
      </c>
      <c r="S105" s="79">
        <v>54629.386746740587</v>
      </c>
      <c r="T105" s="79">
        <v>97917.473493481171</v>
      </c>
      <c r="U105" s="79">
        <v>109114.27619794433</v>
      </c>
      <c r="V105" s="79">
        <v>109114.27619794433</v>
      </c>
      <c r="W105" s="79">
        <v>109114.27619794433</v>
      </c>
      <c r="X105" s="79">
        <v>109114.27619794433</v>
      </c>
      <c r="Y105" s="79">
        <v>0</v>
      </c>
      <c r="Z105" s="79"/>
      <c r="AA105" s="79">
        <v>0</v>
      </c>
      <c r="AB105" s="79">
        <v>0</v>
      </c>
      <c r="AC105" s="79">
        <v>545571.38098972163</v>
      </c>
      <c r="AD105" s="79">
        <v>172013.13192463786</v>
      </c>
      <c r="AE105" s="79">
        <v>0</v>
      </c>
      <c r="AF105" s="79">
        <v>0</v>
      </c>
      <c r="AG105" s="79">
        <v>218228.55239588866</v>
      </c>
      <c r="AH105" s="79">
        <v>68805.252769855142</v>
      </c>
      <c r="AI105" s="79">
        <v>218228.55239588866</v>
      </c>
      <c r="AJ105" s="79">
        <v>218228.55239588866</v>
      </c>
      <c r="AK105" s="79">
        <v>218228.55239588866</v>
      </c>
      <c r="AL105" s="79">
        <v>218228.55239588866</v>
      </c>
      <c r="AM105" s="79">
        <v>218228.55239588866</v>
      </c>
      <c r="AN105" s="79">
        <v>0</v>
      </c>
      <c r="AO105" s="79">
        <v>0</v>
      </c>
      <c r="AP105" s="79">
        <v>0</v>
      </c>
      <c r="AQ105" s="79">
        <v>0</v>
      </c>
      <c r="AR105" s="79">
        <v>0</v>
      </c>
      <c r="AS105" s="79">
        <v>0</v>
      </c>
      <c r="AT105" s="79">
        <v>0</v>
      </c>
      <c r="AU105" s="79">
        <v>0</v>
      </c>
      <c r="AV105" s="79"/>
      <c r="AW105" s="79">
        <v>0</v>
      </c>
      <c r="AX105" s="79">
        <v>54557.138098972166</v>
      </c>
      <c r="AY105" s="79">
        <v>109114.27619794433</v>
      </c>
      <c r="AZ105" s="79">
        <v>327342.82859383302</v>
      </c>
      <c r="BA105" s="79">
        <v>0</v>
      </c>
      <c r="BB105" s="79">
        <v>0</v>
      </c>
      <c r="BC105" s="79">
        <v>0</v>
      </c>
      <c r="BD105" s="79">
        <v>763799.93338561035</v>
      </c>
      <c r="BE105" s="79">
        <v>0</v>
      </c>
      <c r="BF105" s="79">
        <v>109114.27619794433</v>
      </c>
      <c r="BG105" s="79">
        <f>47888-BL105</f>
        <v>12348.5</v>
      </c>
      <c r="BH105" s="79">
        <v>44896</v>
      </c>
      <c r="BI105" s="79">
        <v>6734</v>
      </c>
      <c r="BJ105" s="79"/>
      <c r="BK105" s="79">
        <v>0</v>
      </c>
      <c r="BL105" s="79">
        <v>35539.5</v>
      </c>
      <c r="BM105" s="79">
        <v>146419.85</v>
      </c>
      <c r="BN105" s="79">
        <v>2329.92</v>
      </c>
      <c r="BO105" s="79">
        <v>0</v>
      </c>
      <c r="BP105" s="79">
        <v>105202</v>
      </c>
      <c r="BQ105" s="79">
        <v>0</v>
      </c>
      <c r="BR105" s="79">
        <v>0</v>
      </c>
      <c r="BS105" s="79">
        <v>0</v>
      </c>
      <c r="BT105" s="79">
        <v>0</v>
      </c>
      <c r="BU105" s="79">
        <v>0</v>
      </c>
      <c r="BV105" s="80">
        <v>0</v>
      </c>
      <c r="BW105" s="80">
        <v>0</v>
      </c>
      <c r="BX105" s="80">
        <v>0</v>
      </c>
      <c r="BY105" s="80">
        <v>0</v>
      </c>
      <c r="BZ105" s="80">
        <v>0</v>
      </c>
      <c r="CA105" s="80">
        <v>0</v>
      </c>
      <c r="CB105" s="80">
        <v>0</v>
      </c>
      <c r="CC105" s="80">
        <v>0</v>
      </c>
      <c r="CD105" s="79">
        <v>0</v>
      </c>
      <c r="CE105" s="79">
        <v>0</v>
      </c>
      <c r="CF105" s="79">
        <v>0</v>
      </c>
      <c r="CG105" s="79">
        <v>0</v>
      </c>
      <c r="CH105" s="79">
        <v>0</v>
      </c>
      <c r="CI105" s="79">
        <v>0</v>
      </c>
      <c r="CJ105" s="79">
        <v>0</v>
      </c>
      <c r="CK105" s="79">
        <v>0</v>
      </c>
      <c r="CL105" s="79">
        <v>0</v>
      </c>
      <c r="CM105" s="79">
        <v>54082.8</v>
      </c>
      <c r="CN105" s="79">
        <v>0</v>
      </c>
      <c r="CO105" s="79">
        <v>0</v>
      </c>
      <c r="CP105" s="79">
        <v>0</v>
      </c>
      <c r="CQ105" s="79">
        <v>2997.8947368421059</v>
      </c>
      <c r="CR105" s="79">
        <v>50400</v>
      </c>
      <c r="CS105" s="79">
        <v>18549.875</v>
      </c>
      <c r="CT105" s="79"/>
      <c r="CU105" s="79">
        <v>0</v>
      </c>
      <c r="CV105" s="79"/>
      <c r="CW105" s="79">
        <v>0</v>
      </c>
      <c r="CX105" s="79">
        <v>0</v>
      </c>
      <c r="CY105" s="79">
        <v>0</v>
      </c>
      <c r="CZ105" s="79">
        <v>0</v>
      </c>
      <c r="DA105" s="79">
        <v>33600</v>
      </c>
      <c r="DB105" s="79">
        <v>77427.732043680488</v>
      </c>
      <c r="DC105" s="82">
        <v>0</v>
      </c>
      <c r="DD105" s="79">
        <v>14056</v>
      </c>
      <c r="DE105" s="79"/>
      <c r="DF105" s="79">
        <v>15600</v>
      </c>
      <c r="DG105" s="79">
        <v>0</v>
      </c>
      <c r="DH105" s="83">
        <v>0</v>
      </c>
      <c r="DI105" s="79">
        <v>15695.708259269986</v>
      </c>
      <c r="DJ105" s="79">
        <v>5273757.9751147153</v>
      </c>
      <c r="DK105" s="84">
        <v>4.8852851614356041E-3</v>
      </c>
      <c r="DL105" s="84">
        <v>0</v>
      </c>
      <c r="DM105" s="84">
        <f t="shared" si="54"/>
        <v>5273757.9800000004</v>
      </c>
      <c r="DN105" s="84">
        <f>'[7]FY20 Initial Budget Alloca FTE'!F105*DN$1</f>
        <v>329147.85684210534</v>
      </c>
      <c r="DO105" s="81">
        <f t="shared" si="40"/>
        <v>63978.5</v>
      </c>
      <c r="DP105" s="81">
        <f t="shared" si="55"/>
        <v>68997.894736842107</v>
      </c>
      <c r="DQ105" s="74">
        <f t="shared" si="56"/>
        <v>196171.46210526323</v>
      </c>
      <c r="DR105" s="85">
        <f t="shared" si="64"/>
        <v>0.59599799308238588</v>
      </c>
      <c r="DS105" s="81">
        <f t="shared" si="57"/>
        <v>3328253.5957983052</v>
      </c>
      <c r="DT105" s="81">
        <f t="shared" si="67"/>
        <v>491014.24289074953</v>
      </c>
      <c r="DU105" s="81">
        <f t="shared" si="42"/>
        <v>872914.20958355465</v>
      </c>
      <c r="DV105" s="81">
        <f t="shared" si="69"/>
        <v>184289.27000000002</v>
      </c>
      <c r="DW105" s="81">
        <f t="shared" si="43"/>
        <v>14056</v>
      </c>
      <c r="DX105" s="81">
        <f t="shared" si="44"/>
        <v>0</v>
      </c>
      <c r="DY105" s="81">
        <f t="shared" si="45"/>
        <v>0</v>
      </c>
      <c r="DZ105" s="81">
        <f t="shared" si="46"/>
        <v>54082.8</v>
      </c>
      <c r="EA105" s="74">
        <f t="shared" si="47"/>
        <v>196171.46210526323</v>
      </c>
      <c r="EB105" s="81">
        <f t="shared" si="68"/>
        <v>63978.5</v>
      </c>
      <c r="EC105" s="81">
        <f t="shared" si="68"/>
        <v>68997.894736842107</v>
      </c>
      <c r="ED105" s="86">
        <f t="shared" si="58"/>
        <v>0.59599799308238588</v>
      </c>
      <c r="EE105" s="81">
        <f t="shared" si="59"/>
        <v>329147.85684210534</v>
      </c>
      <c r="EF105" s="81">
        <f t="shared" si="60"/>
        <v>5273757.9751147144</v>
      </c>
      <c r="EG105" s="81">
        <f t="shared" si="49"/>
        <v>0</v>
      </c>
      <c r="EH105" s="81">
        <v>4785368.1760605294</v>
      </c>
      <c r="EI105" s="84">
        <f t="shared" si="63"/>
        <v>5219675.1751147155</v>
      </c>
      <c r="EJ105" s="74">
        <f t="shared" si="50"/>
        <v>488389.79905418586</v>
      </c>
      <c r="EK105" s="74">
        <f t="shared" si="51"/>
        <v>434306.99905418605</v>
      </c>
      <c r="EM105" s="88">
        <f t="shared" si="52"/>
        <v>336</v>
      </c>
      <c r="EN105" s="74">
        <v>321</v>
      </c>
      <c r="EO105" s="74">
        <f t="shared" si="53"/>
        <v>15</v>
      </c>
      <c r="EP105" s="72">
        <v>331</v>
      </c>
      <c r="EQ105" s="74">
        <f t="shared" si="61"/>
        <v>10</v>
      </c>
      <c r="ER105" s="72">
        <v>322</v>
      </c>
      <c r="ES105" s="74">
        <f t="shared" si="62"/>
        <v>14</v>
      </c>
      <c r="ET105" s="74"/>
      <c r="EU105" s="74"/>
      <c r="EV105" s="74"/>
      <c r="EW105" s="89"/>
      <c r="EX105" s="81">
        <f t="shared" si="65"/>
        <v>4822754.4033341929</v>
      </c>
      <c r="EY105" s="81">
        <f t="shared" si="66"/>
        <v>451003.57178052259</v>
      </c>
    </row>
    <row r="106" spans="1:155" x14ac:dyDescent="0.25">
      <c r="A106" s="76">
        <v>327</v>
      </c>
      <c r="B106" s="76" t="s">
        <v>374</v>
      </c>
      <c r="C106" s="77" t="s">
        <v>150</v>
      </c>
      <c r="D106" s="41">
        <v>4</v>
      </c>
      <c r="E106" s="78">
        <v>568</v>
      </c>
      <c r="F106" s="78">
        <v>370.09681881051176</v>
      </c>
      <c r="G106" s="79">
        <v>173177.12015668923</v>
      </c>
      <c r="H106" s="79">
        <v>109114.27619794433</v>
      </c>
      <c r="I106" s="79">
        <v>210592.83023503385</v>
      </c>
      <c r="J106" s="79">
        <v>109114.27619794433</v>
      </c>
      <c r="K106" s="79">
        <v>0</v>
      </c>
      <c r="L106" s="79">
        <v>81577.320156689224</v>
      </c>
      <c r="M106" s="79">
        <v>59319.676384927567</v>
      </c>
      <c r="N106" s="79">
        <v>62489.456938898591</v>
      </c>
      <c r="O106" s="79">
        <v>0</v>
      </c>
      <c r="P106" s="79">
        <v>0</v>
      </c>
      <c r="Q106" s="79"/>
      <c r="R106" s="79">
        <v>69375.836746740591</v>
      </c>
      <c r="S106" s="79">
        <v>54629.386746740587</v>
      </c>
      <c r="T106" s="79">
        <v>146876.21024022176</v>
      </c>
      <c r="U106" s="79">
        <v>109114.27619794433</v>
      </c>
      <c r="V106" s="79">
        <v>109114.27619794433</v>
      </c>
      <c r="W106" s="79">
        <v>109114.27619794433</v>
      </c>
      <c r="X106" s="79">
        <v>109114.27619794433</v>
      </c>
      <c r="Y106" s="79">
        <v>163671.41429691651</v>
      </c>
      <c r="Z106" s="79"/>
      <c r="AA106" s="79">
        <v>327342.82859383302</v>
      </c>
      <c r="AB106" s="79">
        <v>103207.87915478271</v>
      </c>
      <c r="AC106" s="79">
        <v>109114.27619794433</v>
      </c>
      <c r="AD106" s="79">
        <v>34402.626384927571</v>
      </c>
      <c r="AE106" s="79">
        <v>327342.82859383302</v>
      </c>
      <c r="AF106" s="79">
        <v>103207.87915478271</v>
      </c>
      <c r="AG106" s="79">
        <v>327342.82859383302</v>
      </c>
      <c r="AH106" s="79">
        <v>103207.87915478271</v>
      </c>
      <c r="AI106" s="79">
        <v>327342.82859383302</v>
      </c>
      <c r="AJ106" s="79">
        <v>327342.82859383302</v>
      </c>
      <c r="AK106" s="79">
        <v>327342.82859383302</v>
      </c>
      <c r="AL106" s="79">
        <v>327342.82859383302</v>
      </c>
      <c r="AM106" s="79">
        <v>436457.10479177732</v>
      </c>
      <c r="AN106" s="79">
        <v>0</v>
      </c>
      <c r="AO106" s="79">
        <v>0</v>
      </c>
      <c r="AP106" s="79">
        <v>338254.25621362746</v>
      </c>
      <c r="AQ106" s="79">
        <v>0</v>
      </c>
      <c r="AR106" s="79">
        <v>0</v>
      </c>
      <c r="AS106" s="79">
        <v>0</v>
      </c>
      <c r="AT106" s="79">
        <v>0</v>
      </c>
      <c r="AU106" s="79">
        <v>0</v>
      </c>
      <c r="AV106" s="79"/>
      <c r="AW106" s="79">
        <v>0</v>
      </c>
      <c r="AX106" s="79">
        <v>109114.27619794433</v>
      </c>
      <c r="AY106" s="79">
        <v>436457.10479177732</v>
      </c>
      <c r="AZ106" s="79">
        <v>763799.93338561035</v>
      </c>
      <c r="BA106" s="79">
        <v>34402.626384927571</v>
      </c>
      <c r="BB106" s="79">
        <v>48063.47638492757</v>
      </c>
      <c r="BC106" s="79">
        <v>0</v>
      </c>
      <c r="BD106" s="79">
        <v>1527599.8667712207</v>
      </c>
      <c r="BE106" s="79">
        <v>0</v>
      </c>
      <c r="BF106" s="79">
        <v>327342.82859383302</v>
      </c>
      <c r="BG106" s="79">
        <f>47888-BL106</f>
        <v>12348.5</v>
      </c>
      <c r="BH106" s="79">
        <v>44896</v>
      </c>
      <c r="BI106" s="79">
        <v>6734</v>
      </c>
      <c r="BJ106" s="79"/>
      <c r="BK106" s="79">
        <v>0</v>
      </c>
      <c r="BL106" s="79">
        <v>35539.5</v>
      </c>
      <c r="BM106" s="79">
        <v>331821.61</v>
      </c>
      <c r="BN106" s="79">
        <v>5280.14</v>
      </c>
      <c r="BO106" s="79">
        <v>0</v>
      </c>
      <c r="BP106" s="79">
        <v>0</v>
      </c>
      <c r="BQ106" s="79">
        <v>0</v>
      </c>
      <c r="BR106" s="79">
        <v>0</v>
      </c>
      <c r="BS106" s="79">
        <v>0</v>
      </c>
      <c r="BT106" s="79">
        <v>0</v>
      </c>
      <c r="BU106" s="79">
        <v>0</v>
      </c>
      <c r="BV106" s="80">
        <v>0</v>
      </c>
      <c r="BW106" s="80">
        <v>0</v>
      </c>
      <c r="BX106" s="80">
        <v>0</v>
      </c>
      <c r="BY106" s="80">
        <v>0</v>
      </c>
      <c r="BZ106" s="80">
        <v>0</v>
      </c>
      <c r="CA106" s="80">
        <v>0</v>
      </c>
      <c r="CB106" s="80">
        <v>0</v>
      </c>
      <c r="CC106" s="80">
        <v>0</v>
      </c>
      <c r="CD106" s="79">
        <v>0</v>
      </c>
      <c r="CE106" s="79">
        <v>0</v>
      </c>
      <c r="CF106" s="79">
        <v>0</v>
      </c>
      <c r="CG106" s="79">
        <v>0</v>
      </c>
      <c r="CH106" s="79">
        <v>0</v>
      </c>
      <c r="CI106" s="79">
        <v>218228.55239588866</v>
      </c>
      <c r="CJ106" s="79">
        <v>0</v>
      </c>
      <c r="CK106" s="79">
        <v>23000</v>
      </c>
      <c r="CL106" s="79">
        <v>5000</v>
      </c>
      <c r="CM106" s="79">
        <v>108165.6</v>
      </c>
      <c r="CN106" s="79">
        <v>100000</v>
      </c>
      <c r="CO106" s="79">
        <v>0</v>
      </c>
      <c r="CP106" s="79">
        <v>0</v>
      </c>
      <c r="CQ106" s="79">
        <v>7401.9363762102348</v>
      </c>
      <c r="CR106" s="79">
        <v>478080</v>
      </c>
      <c r="CS106" s="79">
        <v>30999.737269372694</v>
      </c>
      <c r="CT106" s="79"/>
      <c r="CU106" s="79">
        <v>0</v>
      </c>
      <c r="CV106" s="79"/>
      <c r="CW106" s="79">
        <v>0</v>
      </c>
      <c r="CX106" s="79">
        <v>0</v>
      </c>
      <c r="CY106" s="79">
        <v>0</v>
      </c>
      <c r="CZ106" s="79">
        <v>0</v>
      </c>
      <c r="DA106" s="79">
        <v>56800</v>
      </c>
      <c r="DB106" s="79">
        <v>148743.63793081837</v>
      </c>
      <c r="DC106" s="82">
        <v>0</v>
      </c>
      <c r="DD106" s="79">
        <v>0</v>
      </c>
      <c r="DE106" s="79"/>
      <c r="DF106" s="79">
        <v>41400</v>
      </c>
      <c r="DG106" s="79">
        <v>0</v>
      </c>
      <c r="DH106" s="83">
        <v>0</v>
      </c>
      <c r="DI106" s="79">
        <v>17776.172423912867</v>
      </c>
      <c r="DJ106" s="79">
        <v>10096865.936782513</v>
      </c>
      <c r="DK106" s="84">
        <v>3.2174866646528244E-3</v>
      </c>
      <c r="DL106" s="84">
        <v>0</v>
      </c>
      <c r="DM106" s="84">
        <f t="shared" si="54"/>
        <v>10096865.939999999</v>
      </c>
      <c r="DN106" s="84">
        <f>'[7]FY20 Initial Budget Alloca FTE'!F106*DN$1</f>
        <v>812680.80055325036</v>
      </c>
      <c r="DO106" s="81">
        <f t="shared" si="40"/>
        <v>63978.5</v>
      </c>
      <c r="DP106" s="81">
        <f t="shared" si="55"/>
        <v>526881.9363762103</v>
      </c>
      <c r="DQ106" s="74">
        <f t="shared" si="56"/>
        <v>221820.36417704006</v>
      </c>
      <c r="DR106" s="85">
        <f t="shared" si="64"/>
        <v>0.27294894136299386</v>
      </c>
      <c r="DS106" s="81">
        <f t="shared" si="57"/>
        <v>5556598.1737190196</v>
      </c>
      <c r="DT106" s="81">
        <f t="shared" si="67"/>
        <v>1391837.4171451873</v>
      </c>
      <c r="DU106" s="81">
        <f t="shared" si="42"/>
        <v>1854942.6953650536</v>
      </c>
      <c r="DV106" s="81">
        <f t="shared" si="69"/>
        <v>372641.25</v>
      </c>
      <c r="DW106" s="81">
        <f t="shared" si="43"/>
        <v>0</v>
      </c>
      <c r="DX106" s="81">
        <f t="shared" si="44"/>
        <v>0</v>
      </c>
      <c r="DY106" s="81">
        <f t="shared" si="45"/>
        <v>0</v>
      </c>
      <c r="DZ106" s="81">
        <f t="shared" si="46"/>
        <v>108165.6</v>
      </c>
      <c r="EA106" s="74">
        <f t="shared" si="47"/>
        <v>221820.36417704006</v>
      </c>
      <c r="EB106" s="81">
        <f t="shared" si="68"/>
        <v>63978.5</v>
      </c>
      <c r="EC106" s="81">
        <f t="shared" si="68"/>
        <v>526881.9363762103</v>
      </c>
      <c r="ED106" s="86">
        <f t="shared" si="58"/>
        <v>0.27294894136299386</v>
      </c>
      <c r="EE106" s="81">
        <f t="shared" si="59"/>
        <v>812680.80055325036</v>
      </c>
      <c r="EF106" s="81">
        <f t="shared" si="60"/>
        <v>10096865.936782511</v>
      </c>
      <c r="EG106" s="81">
        <f t="shared" si="49"/>
        <v>0</v>
      </c>
      <c r="EH106" s="81">
        <v>9745005.3907821439</v>
      </c>
      <c r="EI106" s="84">
        <f t="shared" si="63"/>
        <v>9988700.3367825132</v>
      </c>
      <c r="EJ106" s="74">
        <f t="shared" si="50"/>
        <v>351860.54600036889</v>
      </c>
      <c r="EK106" s="74">
        <f t="shared" si="51"/>
        <v>243694.94600036927</v>
      </c>
      <c r="EM106" s="88">
        <f t="shared" si="52"/>
        <v>568</v>
      </c>
      <c r="EN106" s="74">
        <v>661</v>
      </c>
      <c r="EO106" s="74">
        <f t="shared" si="53"/>
        <v>-93</v>
      </c>
      <c r="EP106" s="90">
        <v>609</v>
      </c>
      <c r="EQ106" s="74">
        <f t="shared" si="61"/>
        <v>-52</v>
      </c>
      <c r="ER106" s="72">
        <v>612</v>
      </c>
      <c r="ES106" s="74">
        <f t="shared" si="62"/>
        <v>-44</v>
      </c>
      <c r="ET106" s="74"/>
      <c r="EU106" s="74"/>
      <c r="EV106" s="74"/>
      <c r="EW106" s="89" t="s">
        <v>375</v>
      </c>
      <c r="EX106" s="81">
        <f t="shared" si="65"/>
        <v>8724633.7752061114</v>
      </c>
      <c r="EY106" s="81">
        <f t="shared" si="66"/>
        <v>1372232.1615764012</v>
      </c>
    </row>
    <row r="107" spans="1:155" x14ac:dyDescent="0.25">
      <c r="A107" s="76">
        <v>328</v>
      </c>
      <c r="B107" s="76" t="s">
        <v>248</v>
      </c>
      <c r="C107" s="77" t="s">
        <v>135</v>
      </c>
      <c r="D107" s="41">
        <v>1</v>
      </c>
      <c r="E107" s="78">
        <v>534</v>
      </c>
      <c r="F107" s="78">
        <v>339.80384615384617</v>
      </c>
      <c r="G107" s="79">
        <v>173177.12015668923</v>
      </c>
      <c r="H107" s="79">
        <v>109114.27619794433</v>
      </c>
      <c r="I107" s="79">
        <v>182513.78620369601</v>
      </c>
      <c r="J107" s="79">
        <v>0</v>
      </c>
      <c r="K107" s="79">
        <v>0</v>
      </c>
      <c r="L107" s="79">
        <v>81577.320156689224</v>
      </c>
      <c r="M107" s="79">
        <v>59319.676384927567</v>
      </c>
      <c r="N107" s="79">
        <v>58025.924300405837</v>
      </c>
      <c r="O107" s="79">
        <v>0</v>
      </c>
      <c r="P107" s="79">
        <v>0</v>
      </c>
      <c r="Q107" s="79"/>
      <c r="R107" s="79">
        <v>69375.836746740591</v>
      </c>
      <c r="S107" s="79">
        <v>54629.386746740587</v>
      </c>
      <c r="T107" s="79">
        <v>146876.21024022176</v>
      </c>
      <c r="U107" s="79">
        <v>109114.27619794433</v>
      </c>
      <c r="V107" s="79">
        <v>109114.27619794433</v>
      </c>
      <c r="W107" s="79">
        <v>109114.27619794433</v>
      </c>
      <c r="X107" s="79">
        <v>109114.27619794433</v>
      </c>
      <c r="Y107" s="79">
        <v>163671.41429691651</v>
      </c>
      <c r="Z107" s="79"/>
      <c r="AA107" s="79">
        <v>0</v>
      </c>
      <c r="AB107" s="79">
        <v>0</v>
      </c>
      <c r="AC107" s="79">
        <v>436457.10479177732</v>
      </c>
      <c r="AD107" s="79">
        <v>137610.50553971028</v>
      </c>
      <c r="AE107" s="79">
        <v>0</v>
      </c>
      <c r="AF107" s="79">
        <v>0</v>
      </c>
      <c r="AG107" s="79">
        <v>436457.10479177732</v>
      </c>
      <c r="AH107" s="79">
        <v>137610.50553971028</v>
      </c>
      <c r="AI107" s="79">
        <v>436457.10479177732</v>
      </c>
      <c r="AJ107" s="79">
        <v>436457.10479177732</v>
      </c>
      <c r="AK107" s="79">
        <v>327342.82859383302</v>
      </c>
      <c r="AL107" s="79">
        <v>327342.82859383302</v>
      </c>
      <c r="AM107" s="79">
        <v>327342.82859383302</v>
      </c>
      <c r="AN107" s="79">
        <v>0</v>
      </c>
      <c r="AO107" s="79">
        <v>0</v>
      </c>
      <c r="AP107" s="79">
        <v>0</v>
      </c>
      <c r="AQ107" s="79">
        <v>0</v>
      </c>
      <c r="AR107" s="79">
        <v>0</v>
      </c>
      <c r="AS107" s="79">
        <v>0</v>
      </c>
      <c r="AT107" s="79">
        <v>0</v>
      </c>
      <c r="AU107" s="79">
        <v>0</v>
      </c>
      <c r="AV107" s="79"/>
      <c r="AW107" s="79">
        <v>0</v>
      </c>
      <c r="AX107" s="79">
        <v>109114.27619794433</v>
      </c>
      <c r="AY107" s="79">
        <v>327342.82859383302</v>
      </c>
      <c r="AZ107" s="79">
        <v>1091142.7619794433</v>
      </c>
      <c r="BA107" s="79">
        <v>137610.50553971028</v>
      </c>
      <c r="BB107" s="79">
        <v>0</v>
      </c>
      <c r="BC107" s="79">
        <v>0</v>
      </c>
      <c r="BD107" s="79">
        <v>1418485.5905732764</v>
      </c>
      <c r="BE107" s="79">
        <v>0</v>
      </c>
      <c r="BF107" s="79">
        <v>218228.55239588866</v>
      </c>
      <c r="BG107" s="79">
        <v>29930</v>
      </c>
      <c r="BH107" s="79">
        <v>28060</v>
      </c>
      <c r="BI107" s="79">
        <v>6734</v>
      </c>
      <c r="BJ107" s="79"/>
      <c r="BK107" s="79">
        <v>0</v>
      </c>
      <c r="BL107" s="79"/>
      <c r="BM107" s="79">
        <v>254333.19</v>
      </c>
      <c r="BN107" s="79">
        <v>4047.1</v>
      </c>
      <c r="BO107" s="79">
        <v>0</v>
      </c>
      <c r="BP107" s="79">
        <v>0</v>
      </c>
      <c r="BQ107" s="79">
        <v>0</v>
      </c>
      <c r="BR107" s="79">
        <v>0</v>
      </c>
      <c r="BS107" s="79">
        <v>0</v>
      </c>
      <c r="BT107" s="79">
        <v>0</v>
      </c>
      <c r="BU107" s="79">
        <v>0</v>
      </c>
      <c r="BV107" s="80">
        <v>0</v>
      </c>
      <c r="BW107" s="80">
        <v>0</v>
      </c>
      <c r="BX107" s="80">
        <v>0</v>
      </c>
      <c r="BY107" s="80">
        <v>0</v>
      </c>
      <c r="BZ107" s="80">
        <v>0</v>
      </c>
      <c r="CA107" s="80">
        <v>0</v>
      </c>
      <c r="CB107" s="80">
        <v>0</v>
      </c>
      <c r="CC107" s="80">
        <v>0</v>
      </c>
      <c r="CD107" s="79">
        <v>0</v>
      </c>
      <c r="CE107" s="79">
        <v>0</v>
      </c>
      <c r="CF107" s="79">
        <v>0</v>
      </c>
      <c r="CG107" s="79">
        <v>0</v>
      </c>
      <c r="CH107" s="79">
        <v>0</v>
      </c>
      <c r="CI107" s="79">
        <v>0</v>
      </c>
      <c r="CJ107" s="79">
        <v>0</v>
      </c>
      <c r="CK107" s="79">
        <v>0</v>
      </c>
      <c r="CL107" s="79">
        <v>0</v>
      </c>
      <c r="CM107" s="79">
        <v>108165.6</v>
      </c>
      <c r="CN107" s="79">
        <v>0</v>
      </c>
      <c r="CO107" s="79">
        <v>0</v>
      </c>
      <c r="CP107" s="79">
        <v>0</v>
      </c>
      <c r="CQ107" s="79">
        <v>6796.0769230769238</v>
      </c>
      <c r="CR107" s="79">
        <v>0</v>
      </c>
      <c r="CS107" s="79">
        <v>28173.440000000002</v>
      </c>
      <c r="CT107" s="79"/>
      <c r="CU107" s="79">
        <v>0</v>
      </c>
      <c r="CV107" s="79"/>
      <c r="CW107" s="79">
        <v>0</v>
      </c>
      <c r="CX107" s="79">
        <v>0</v>
      </c>
      <c r="CY107" s="79">
        <v>0</v>
      </c>
      <c r="CZ107" s="79">
        <v>0</v>
      </c>
      <c r="DA107" s="79">
        <v>53400</v>
      </c>
      <c r="DB107" s="79">
        <v>126219.82184924706</v>
      </c>
      <c r="DC107" s="82">
        <v>0</v>
      </c>
      <c r="DD107" s="79">
        <v>0</v>
      </c>
      <c r="DE107" s="79"/>
      <c r="DF107" s="79">
        <v>24500</v>
      </c>
      <c r="DG107" s="79">
        <v>0</v>
      </c>
      <c r="DH107" s="83">
        <v>0</v>
      </c>
      <c r="DI107" s="79">
        <v>15936.516322665164</v>
      </c>
      <c r="DJ107" s="79">
        <v>8510099.7163031977</v>
      </c>
      <c r="DK107" s="84">
        <v>108947.28369680233</v>
      </c>
      <c r="DL107" s="84">
        <v>0</v>
      </c>
      <c r="DM107" s="84">
        <f t="shared" si="54"/>
        <v>8619047</v>
      </c>
      <c r="DN107" s="84">
        <f>'[7]FY20 Initial Budget Alloca FTE'!F107*DN$1</f>
        <v>746161.67361538473</v>
      </c>
      <c r="DO107" s="81">
        <f t="shared" si="40"/>
        <v>64724</v>
      </c>
      <c r="DP107" s="81">
        <f t="shared" si="55"/>
        <v>31296.076923076922</v>
      </c>
      <c r="DQ107" s="74">
        <f t="shared" si="56"/>
        <v>650141.59669230785</v>
      </c>
      <c r="DR107" s="85">
        <f t="shared" si="64"/>
        <v>0.87131464893147104</v>
      </c>
      <c r="DS107" s="81">
        <f t="shared" si="57"/>
        <v>4095467.6374077173</v>
      </c>
      <c r="DT107" s="81">
        <f t="shared" si="67"/>
        <v>1665210.3723109309</v>
      </c>
      <c r="DU107" s="81">
        <f t="shared" si="42"/>
        <v>1636714.142969165</v>
      </c>
      <c r="DV107" s="81">
        <f t="shared" si="69"/>
        <v>258380.29</v>
      </c>
      <c r="DW107" s="81">
        <f t="shared" si="43"/>
        <v>0</v>
      </c>
      <c r="DX107" s="81">
        <f t="shared" si="44"/>
        <v>0</v>
      </c>
      <c r="DY107" s="81">
        <f t="shared" si="45"/>
        <v>0</v>
      </c>
      <c r="DZ107" s="81">
        <f t="shared" si="46"/>
        <v>108165.6</v>
      </c>
      <c r="EA107" s="74">
        <f t="shared" si="47"/>
        <v>650141.59669230785</v>
      </c>
      <c r="EB107" s="81">
        <f t="shared" si="68"/>
        <v>64724</v>
      </c>
      <c r="EC107" s="81">
        <f t="shared" si="68"/>
        <v>31296.076923076922</v>
      </c>
      <c r="ED107" s="86">
        <f t="shared" si="58"/>
        <v>0.87131464893147104</v>
      </c>
      <c r="EE107" s="81">
        <f t="shared" si="59"/>
        <v>746161.67361538473</v>
      </c>
      <c r="EF107" s="81">
        <f t="shared" si="60"/>
        <v>8510099.7163031958</v>
      </c>
      <c r="EG107" s="81">
        <f t="shared" si="49"/>
        <v>0</v>
      </c>
      <c r="EH107" s="81">
        <v>8467499.8373849858</v>
      </c>
      <c r="EI107" s="84">
        <f t="shared" si="63"/>
        <v>8401934.116303198</v>
      </c>
      <c r="EJ107" s="74">
        <f t="shared" si="50"/>
        <v>42599.878918211907</v>
      </c>
      <c r="EK107" s="74">
        <f t="shared" si="51"/>
        <v>-65565.72108178772</v>
      </c>
      <c r="EM107" s="88">
        <f t="shared" si="52"/>
        <v>534</v>
      </c>
      <c r="EN107" s="74">
        <v>559</v>
      </c>
      <c r="EO107" s="74">
        <f t="shared" si="53"/>
        <v>-25</v>
      </c>
      <c r="EP107" s="72">
        <v>548</v>
      </c>
      <c r="EQ107" s="74">
        <f t="shared" si="61"/>
        <v>-11</v>
      </c>
      <c r="ER107" s="72">
        <v>506</v>
      </c>
      <c r="ES107" s="74">
        <f t="shared" si="62"/>
        <v>28</v>
      </c>
      <c r="ET107" s="74"/>
      <c r="EU107" s="74"/>
      <c r="EV107" s="74"/>
      <c r="EW107" s="89"/>
      <c r="EX107" s="81">
        <f t="shared" si="65"/>
        <v>7904464.4875308741</v>
      </c>
      <c r="EY107" s="81">
        <f t="shared" si="66"/>
        <v>605635.22877232404</v>
      </c>
    </row>
    <row r="108" spans="1:155" x14ac:dyDescent="0.25">
      <c r="A108" s="76">
        <v>329</v>
      </c>
      <c r="B108" s="76" t="s">
        <v>249</v>
      </c>
      <c r="C108" s="77" t="s">
        <v>135</v>
      </c>
      <c r="D108" s="41">
        <v>8</v>
      </c>
      <c r="E108" s="78">
        <v>500</v>
      </c>
      <c r="F108" s="78">
        <v>438.82490272373542</v>
      </c>
      <c r="G108" s="79">
        <v>173177.12015668923</v>
      </c>
      <c r="H108" s="79">
        <v>109114.27619794433</v>
      </c>
      <c r="I108" s="79">
        <v>182513.78620369601</v>
      </c>
      <c r="J108" s="79">
        <v>0</v>
      </c>
      <c r="K108" s="79">
        <v>0</v>
      </c>
      <c r="L108" s="79">
        <v>81577.320156689224</v>
      </c>
      <c r="M108" s="79">
        <v>59319.676384927567</v>
      </c>
      <c r="N108" s="79">
        <v>58025.924300405837</v>
      </c>
      <c r="O108" s="79">
        <v>0</v>
      </c>
      <c r="P108" s="79">
        <v>0</v>
      </c>
      <c r="Q108" s="79"/>
      <c r="R108" s="79">
        <v>69375.836746740591</v>
      </c>
      <c r="S108" s="79">
        <v>54629.386746740587</v>
      </c>
      <c r="T108" s="79">
        <v>97917.473493481171</v>
      </c>
      <c r="U108" s="79">
        <v>109114.27619794433</v>
      </c>
      <c r="V108" s="79">
        <v>109114.27619794433</v>
      </c>
      <c r="W108" s="79">
        <v>109114.27619794433</v>
      </c>
      <c r="X108" s="79">
        <v>109114.27619794433</v>
      </c>
      <c r="Y108" s="79">
        <v>218228.55239588866</v>
      </c>
      <c r="Z108" s="79"/>
      <c r="AA108" s="79">
        <v>218228.55239588866</v>
      </c>
      <c r="AB108" s="79">
        <v>68805.252769855142</v>
      </c>
      <c r="AC108" s="79">
        <v>109114.27619794433</v>
      </c>
      <c r="AD108" s="79">
        <v>34402.626384927571</v>
      </c>
      <c r="AE108" s="79">
        <v>218228.55239588866</v>
      </c>
      <c r="AF108" s="79">
        <v>68805.252769855142</v>
      </c>
      <c r="AG108" s="79">
        <v>327342.82859383302</v>
      </c>
      <c r="AH108" s="79">
        <v>103207.87915478271</v>
      </c>
      <c r="AI108" s="79">
        <v>327342.82859383302</v>
      </c>
      <c r="AJ108" s="79">
        <v>327342.82859383302</v>
      </c>
      <c r="AK108" s="79">
        <v>327342.82859383302</v>
      </c>
      <c r="AL108" s="79">
        <v>436457.10479177732</v>
      </c>
      <c r="AM108" s="79">
        <v>327342.82859383302</v>
      </c>
      <c r="AN108" s="79">
        <v>0</v>
      </c>
      <c r="AO108" s="79">
        <v>0</v>
      </c>
      <c r="AP108" s="79">
        <v>0</v>
      </c>
      <c r="AQ108" s="79">
        <v>0</v>
      </c>
      <c r="AR108" s="79">
        <v>0</v>
      </c>
      <c r="AS108" s="79">
        <v>0</v>
      </c>
      <c r="AT108" s="79">
        <v>0</v>
      </c>
      <c r="AU108" s="79">
        <v>0</v>
      </c>
      <c r="AV108" s="79"/>
      <c r="AW108" s="79">
        <v>0</v>
      </c>
      <c r="AX108" s="79">
        <v>109114.27619794433</v>
      </c>
      <c r="AY108" s="79">
        <v>218228.55239588866</v>
      </c>
      <c r="AZ108" s="79">
        <v>654685.65718766605</v>
      </c>
      <c r="BA108" s="79">
        <v>137610.50553971028</v>
      </c>
      <c r="BB108" s="79">
        <v>0</v>
      </c>
      <c r="BC108" s="79">
        <v>0</v>
      </c>
      <c r="BD108" s="79">
        <v>39677.918617434305</v>
      </c>
      <c r="BE108" s="79">
        <v>0</v>
      </c>
      <c r="BF108" s="79">
        <v>0</v>
      </c>
      <c r="BG108" s="79">
        <f>35916-BL108</f>
        <v>5988</v>
      </c>
      <c r="BH108" s="79">
        <v>33672</v>
      </c>
      <c r="BI108" s="79">
        <v>6734</v>
      </c>
      <c r="BJ108" s="79"/>
      <c r="BK108" s="79">
        <v>0</v>
      </c>
      <c r="BL108" s="79">
        <v>29928</v>
      </c>
      <c r="BM108" s="79">
        <v>220105.17</v>
      </c>
      <c r="BN108" s="79">
        <v>3502.44</v>
      </c>
      <c r="BO108" s="79">
        <v>0</v>
      </c>
      <c r="BP108" s="79">
        <v>105202</v>
      </c>
      <c r="BQ108" s="79">
        <v>0</v>
      </c>
      <c r="BR108" s="79">
        <v>0</v>
      </c>
      <c r="BS108" s="79">
        <v>0</v>
      </c>
      <c r="BT108" s="79">
        <v>0</v>
      </c>
      <c r="BU108" s="79">
        <v>0</v>
      </c>
      <c r="BV108" s="80">
        <v>0</v>
      </c>
      <c r="BW108" s="80">
        <v>0</v>
      </c>
      <c r="BX108" s="80">
        <v>0</v>
      </c>
      <c r="BY108" s="80">
        <v>0</v>
      </c>
      <c r="BZ108" s="80">
        <v>0</v>
      </c>
      <c r="CA108" s="80">
        <v>0</v>
      </c>
      <c r="CB108" s="80">
        <v>0</v>
      </c>
      <c r="CC108" s="80">
        <v>0</v>
      </c>
      <c r="CD108" s="79">
        <v>0</v>
      </c>
      <c r="CE108" s="79">
        <v>0</v>
      </c>
      <c r="CF108" s="79">
        <v>0</v>
      </c>
      <c r="CG108" s="79">
        <v>0</v>
      </c>
      <c r="CH108" s="79">
        <v>0</v>
      </c>
      <c r="CI108" s="79">
        <v>0</v>
      </c>
      <c r="CJ108" s="79">
        <v>0</v>
      </c>
      <c r="CK108" s="79">
        <v>0</v>
      </c>
      <c r="CL108" s="79">
        <v>0</v>
      </c>
      <c r="CM108" s="79">
        <v>134937.68</v>
      </c>
      <c r="CN108" s="79">
        <v>0</v>
      </c>
      <c r="CO108" s="79">
        <v>0</v>
      </c>
      <c r="CP108" s="79">
        <v>0</v>
      </c>
      <c r="CQ108" s="79">
        <v>17552.996108949417</v>
      </c>
      <c r="CR108" s="79">
        <v>0</v>
      </c>
      <c r="CS108" s="79">
        <v>27663.547169811322</v>
      </c>
      <c r="CT108" s="79"/>
      <c r="CU108" s="79">
        <v>0</v>
      </c>
      <c r="CV108" s="79"/>
      <c r="CW108" s="79">
        <v>0</v>
      </c>
      <c r="CX108" s="79">
        <v>0</v>
      </c>
      <c r="CY108" s="79">
        <v>0</v>
      </c>
      <c r="CZ108" s="79">
        <v>0</v>
      </c>
      <c r="DA108" s="79">
        <v>50000</v>
      </c>
      <c r="DB108" s="79">
        <v>91750.9860182337</v>
      </c>
      <c r="DC108" s="82">
        <v>0</v>
      </c>
      <c r="DD108" s="79">
        <v>29019.214285714286</v>
      </c>
      <c r="DE108" s="79"/>
      <c r="DF108" s="79">
        <v>38850</v>
      </c>
      <c r="DG108" s="79">
        <v>0</v>
      </c>
      <c r="DH108" s="83">
        <v>0</v>
      </c>
      <c r="DI108" s="79">
        <v>12777.046081852837</v>
      </c>
      <c r="DJ108" s="79">
        <v>6388523.0409264173</v>
      </c>
      <c r="DK108" s="84">
        <v>-9.2641729861497879E-4</v>
      </c>
      <c r="DL108" s="84">
        <v>79215.3</v>
      </c>
      <c r="DM108" s="84">
        <f t="shared" si="54"/>
        <v>6467738.3399999999</v>
      </c>
      <c r="DN108" s="84">
        <f>'[7]FY20 Initial Budget Alloca FTE'!F108*DN$1</f>
        <v>963598.05089494167</v>
      </c>
      <c r="DO108" s="81">
        <f t="shared" si="40"/>
        <v>46394</v>
      </c>
      <c r="DP108" s="81">
        <f t="shared" si="55"/>
        <v>56402.996108949417</v>
      </c>
      <c r="DQ108" s="74">
        <f t="shared" si="56"/>
        <v>860801.05478599225</v>
      </c>
      <c r="DR108" s="85">
        <f t="shared" si="64"/>
        <v>0.89331963051038066</v>
      </c>
      <c r="DS108" s="81">
        <f t="shared" si="57"/>
        <v>3848115.5758071179</v>
      </c>
      <c r="DT108" s="81">
        <f t="shared" si="67"/>
        <v>1119638.9913212094</v>
      </c>
      <c r="DU108" s="81">
        <f t="shared" si="42"/>
        <v>39677.918617434305</v>
      </c>
      <c r="DV108" s="81">
        <f t="shared" si="69"/>
        <v>253535.61000000002</v>
      </c>
      <c r="DW108" s="81">
        <f t="shared" si="43"/>
        <v>29019.214285714286</v>
      </c>
      <c r="DX108" s="81">
        <f t="shared" si="44"/>
        <v>0</v>
      </c>
      <c r="DY108" s="81">
        <f t="shared" si="45"/>
        <v>0</v>
      </c>
      <c r="DZ108" s="81">
        <f t="shared" si="46"/>
        <v>134937.68</v>
      </c>
      <c r="EA108" s="74">
        <f t="shared" si="47"/>
        <v>860801.05478599225</v>
      </c>
      <c r="EB108" s="81">
        <f t="shared" si="68"/>
        <v>46394</v>
      </c>
      <c r="EC108" s="81">
        <f t="shared" si="68"/>
        <v>56402.996108949417</v>
      </c>
      <c r="ED108" s="86">
        <f t="shared" si="58"/>
        <v>0.89331963051038066</v>
      </c>
      <c r="EE108" s="81">
        <f t="shared" si="59"/>
        <v>963598.05089494167</v>
      </c>
      <c r="EF108" s="81">
        <f t="shared" si="60"/>
        <v>6388523.0409264164</v>
      </c>
      <c r="EG108" s="81">
        <f t="shared" si="49"/>
        <v>0</v>
      </c>
      <c r="EH108" s="81">
        <v>6382629.5513877226</v>
      </c>
      <c r="EI108" s="84">
        <f t="shared" si="63"/>
        <v>6253585.3609264176</v>
      </c>
      <c r="EJ108" s="74">
        <f t="shared" si="50"/>
        <v>5893.4895386947319</v>
      </c>
      <c r="EK108" s="74">
        <f t="shared" si="51"/>
        <v>-129044.19046130497</v>
      </c>
      <c r="EM108" s="88">
        <f t="shared" si="52"/>
        <v>500</v>
      </c>
      <c r="EN108" s="74">
        <v>462</v>
      </c>
      <c r="EO108" s="74">
        <f t="shared" si="53"/>
        <v>38</v>
      </c>
      <c r="EP108" s="94">
        <v>497</v>
      </c>
      <c r="EQ108" s="74">
        <f t="shared" si="61"/>
        <v>35</v>
      </c>
      <c r="ER108" s="72">
        <v>484</v>
      </c>
      <c r="ES108" s="74">
        <f t="shared" si="62"/>
        <v>16</v>
      </c>
      <c r="ET108" s="74"/>
      <c r="EU108" s="74"/>
      <c r="EV108" s="74"/>
      <c r="EW108" s="89"/>
      <c r="EX108" s="81">
        <f t="shared" si="65"/>
        <v>5745213.0073437085</v>
      </c>
      <c r="EY108" s="81">
        <f t="shared" si="66"/>
        <v>643310.0335827088</v>
      </c>
    </row>
    <row r="109" spans="1:155" x14ac:dyDescent="0.25">
      <c r="A109" s="76">
        <v>330</v>
      </c>
      <c r="B109" s="76" t="s">
        <v>250</v>
      </c>
      <c r="C109" s="77" t="s">
        <v>135</v>
      </c>
      <c r="D109" s="41">
        <v>6</v>
      </c>
      <c r="E109" s="78">
        <v>516</v>
      </c>
      <c r="F109" s="78">
        <v>206.64367816091954</v>
      </c>
      <c r="G109" s="79">
        <v>173177.12015668923</v>
      </c>
      <c r="H109" s="79">
        <v>109114.27619794433</v>
      </c>
      <c r="I109" s="79">
        <v>182513.78620369601</v>
      </c>
      <c r="J109" s="79">
        <v>0</v>
      </c>
      <c r="K109" s="79">
        <v>0</v>
      </c>
      <c r="L109" s="79">
        <v>81577.320156689224</v>
      </c>
      <c r="M109" s="79">
        <v>59319.676384927567</v>
      </c>
      <c r="N109" s="79">
        <v>58025.924300405837</v>
      </c>
      <c r="O109" s="79">
        <v>0</v>
      </c>
      <c r="P109" s="79">
        <v>0</v>
      </c>
      <c r="Q109" s="79"/>
      <c r="R109" s="79">
        <v>69375.836746740591</v>
      </c>
      <c r="S109" s="79">
        <v>54629.386746740587</v>
      </c>
      <c r="T109" s="79">
        <v>146876.21024022176</v>
      </c>
      <c r="U109" s="79">
        <v>109114.27619794433</v>
      </c>
      <c r="V109" s="79">
        <v>109114.27619794433</v>
      </c>
      <c r="W109" s="79">
        <v>109114.27619794433</v>
      </c>
      <c r="X109" s="79">
        <v>109114.27619794433</v>
      </c>
      <c r="Y109" s="79">
        <v>163671.41429691651</v>
      </c>
      <c r="Z109" s="79"/>
      <c r="AA109" s="79">
        <v>436457.10479177732</v>
      </c>
      <c r="AB109" s="79">
        <v>137610.50553971028</v>
      </c>
      <c r="AC109" s="79">
        <v>0</v>
      </c>
      <c r="AD109" s="79">
        <v>0</v>
      </c>
      <c r="AE109" s="79">
        <v>436457.10479177732</v>
      </c>
      <c r="AF109" s="79">
        <v>137610.50553971028</v>
      </c>
      <c r="AG109" s="79">
        <v>436457.10479177732</v>
      </c>
      <c r="AH109" s="79">
        <v>137610.50553971028</v>
      </c>
      <c r="AI109" s="79">
        <v>436457.10479177732</v>
      </c>
      <c r="AJ109" s="79">
        <v>327342.82859383302</v>
      </c>
      <c r="AK109" s="79">
        <v>327342.82859383302</v>
      </c>
      <c r="AL109" s="79">
        <v>327342.82859383302</v>
      </c>
      <c r="AM109" s="79">
        <v>218228.55239588866</v>
      </c>
      <c r="AN109" s="79">
        <v>0</v>
      </c>
      <c r="AO109" s="79">
        <v>0</v>
      </c>
      <c r="AP109" s="79">
        <v>0</v>
      </c>
      <c r="AQ109" s="79">
        <v>0</v>
      </c>
      <c r="AR109" s="79">
        <v>0</v>
      </c>
      <c r="AS109" s="79">
        <v>0</v>
      </c>
      <c r="AT109" s="79">
        <v>0</v>
      </c>
      <c r="AU109" s="79">
        <v>0</v>
      </c>
      <c r="AV109" s="79"/>
      <c r="AW109" s="79">
        <v>0</v>
      </c>
      <c r="AX109" s="79">
        <v>109114.27619794433</v>
      </c>
      <c r="AY109" s="79">
        <v>109114.27619794433</v>
      </c>
      <c r="AZ109" s="79">
        <v>872914.20958355465</v>
      </c>
      <c r="BA109" s="79">
        <v>309623.63746434811</v>
      </c>
      <c r="BB109" s="79">
        <v>0</v>
      </c>
      <c r="BC109" s="79">
        <v>105202</v>
      </c>
      <c r="BD109" s="79">
        <v>109114.27619794433</v>
      </c>
      <c r="BE109" s="79">
        <v>0</v>
      </c>
      <c r="BF109" s="79">
        <v>0</v>
      </c>
      <c r="BG109" s="79">
        <f>29930-BL109</f>
        <v>12721.400000000001</v>
      </c>
      <c r="BH109" s="79">
        <v>28060</v>
      </c>
      <c r="BI109" s="79">
        <v>0</v>
      </c>
      <c r="BJ109" s="79"/>
      <c r="BK109" s="79">
        <v>0</v>
      </c>
      <c r="BL109" s="79">
        <v>17208.599999999999</v>
      </c>
      <c r="BM109" s="79">
        <v>249579.29</v>
      </c>
      <c r="BN109" s="79">
        <v>3971.45</v>
      </c>
      <c r="BO109" s="79">
        <v>0</v>
      </c>
      <c r="BP109" s="79">
        <v>0</v>
      </c>
      <c r="BQ109" s="79">
        <v>0</v>
      </c>
      <c r="BR109" s="79">
        <v>0</v>
      </c>
      <c r="BS109" s="79">
        <v>0</v>
      </c>
      <c r="BT109" s="79">
        <v>0</v>
      </c>
      <c r="BU109" s="79">
        <v>0</v>
      </c>
      <c r="BV109" s="80">
        <v>0</v>
      </c>
      <c r="BW109" s="80">
        <v>0</v>
      </c>
      <c r="BX109" s="80">
        <v>0</v>
      </c>
      <c r="BY109" s="80">
        <v>0</v>
      </c>
      <c r="BZ109" s="80">
        <v>0</v>
      </c>
      <c r="CA109" s="80">
        <v>0</v>
      </c>
      <c r="CB109" s="80">
        <v>0</v>
      </c>
      <c r="CC109" s="80">
        <v>0</v>
      </c>
      <c r="CD109" s="79">
        <v>0</v>
      </c>
      <c r="CE109" s="79">
        <v>0</v>
      </c>
      <c r="CF109" s="79">
        <v>0</v>
      </c>
      <c r="CG109" s="79">
        <v>0</v>
      </c>
      <c r="CH109" s="79">
        <v>0</v>
      </c>
      <c r="CI109" s="79">
        <v>0</v>
      </c>
      <c r="CJ109" s="79">
        <v>0</v>
      </c>
      <c r="CK109" s="79">
        <v>0</v>
      </c>
      <c r="CL109" s="79">
        <v>0</v>
      </c>
      <c r="CM109" s="79">
        <v>108165.6</v>
      </c>
      <c r="CN109" s="79">
        <v>0</v>
      </c>
      <c r="CO109" s="79">
        <v>0</v>
      </c>
      <c r="CP109" s="79">
        <v>0</v>
      </c>
      <c r="CQ109" s="79">
        <v>4132.8735632183907</v>
      </c>
      <c r="CR109" s="79">
        <v>0</v>
      </c>
      <c r="CS109" s="79">
        <v>27053.829787234041</v>
      </c>
      <c r="CT109" s="79"/>
      <c r="CU109" s="79">
        <v>0</v>
      </c>
      <c r="CV109" s="79"/>
      <c r="CW109" s="79">
        <v>0</v>
      </c>
      <c r="CX109" s="79">
        <v>0</v>
      </c>
      <c r="CY109" s="79">
        <v>0</v>
      </c>
      <c r="CZ109" s="79">
        <v>0</v>
      </c>
      <c r="DA109" s="79">
        <v>51600</v>
      </c>
      <c r="DB109" s="79">
        <v>104790.6770638326</v>
      </c>
      <c r="DC109" s="82">
        <v>0</v>
      </c>
      <c r="DD109" s="79">
        <v>0</v>
      </c>
      <c r="DE109" s="79"/>
      <c r="DF109" s="79">
        <v>20250</v>
      </c>
      <c r="DG109" s="79">
        <v>0</v>
      </c>
      <c r="DH109" s="83">
        <v>0</v>
      </c>
      <c r="DI109" s="79">
        <v>13829.983384190693</v>
      </c>
      <c r="DJ109" s="79">
        <v>7136271.4262423981</v>
      </c>
      <c r="DK109" s="84">
        <v>3.7576016038656235E-3</v>
      </c>
      <c r="DL109" s="84">
        <v>0</v>
      </c>
      <c r="DM109" s="84">
        <f t="shared" si="54"/>
        <v>7136271.4299999997</v>
      </c>
      <c r="DN109" s="84">
        <f>'[7]FY20 Initial Budget Alloca FTE'!F109*DN$1</f>
        <v>453760.58712643682</v>
      </c>
      <c r="DO109" s="81">
        <f t="shared" si="40"/>
        <v>40781.4</v>
      </c>
      <c r="DP109" s="81">
        <f t="shared" si="55"/>
        <v>24382.873563218389</v>
      </c>
      <c r="DQ109" s="74">
        <f t="shared" si="56"/>
        <v>388596.3135632184</v>
      </c>
      <c r="DR109" s="85">
        <f t="shared" si="64"/>
        <v>0.85639062666088073</v>
      </c>
      <c r="DS109" s="81">
        <f t="shared" si="57"/>
        <v>4688503.223474225</v>
      </c>
      <c r="DT109" s="81">
        <f t="shared" si="67"/>
        <v>1505968.3994437912</v>
      </c>
      <c r="DU109" s="81">
        <f t="shared" si="42"/>
        <v>109114.27619794433</v>
      </c>
      <c r="DV109" s="81">
        <f t="shared" si="69"/>
        <v>270759.34000000003</v>
      </c>
      <c r="DW109" s="81">
        <f t="shared" si="43"/>
        <v>0</v>
      </c>
      <c r="DX109" s="81">
        <f t="shared" si="44"/>
        <v>0</v>
      </c>
      <c r="DY109" s="81">
        <f t="shared" si="45"/>
        <v>0</v>
      </c>
      <c r="DZ109" s="81">
        <f t="shared" si="46"/>
        <v>108165.6</v>
      </c>
      <c r="EA109" s="74">
        <f t="shared" si="47"/>
        <v>388596.3135632184</v>
      </c>
      <c r="EB109" s="81">
        <f t="shared" si="68"/>
        <v>40781.4</v>
      </c>
      <c r="EC109" s="81">
        <f t="shared" si="68"/>
        <v>24382.873563218389</v>
      </c>
      <c r="ED109" s="86">
        <f t="shared" si="58"/>
        <v>0.85639062666088073</v>
      </c>
      <c r="EE109" s="81">
        <f t="shared" si="59"/>
        <v>453760.58712643682</v>
      </c>
      <c r="EF109" s="81">
        <f t="shared" si="60"/>
        <v>7136271.4262423972</v>
      </c>
      <c r="EG109" s="81">
        <f t="shared" si="49"/>
        <v>0</v>
      </c>
      <c r="EH109" s="81">
        <v>6776055.1388992975</v>
      </c>
      <c r="EI109" s="84">
        <f t="shared" si="63"/>
        <v>7028105.8262423985</v>
      </c>
      <c r="EJ109" s="74">
        <f t="shared" si="50"/>
        <v>360216.28734310064</v>
      </c>
      <c r="EK109" s="74">
        <f t="shared" si="51"/>
        <v>252050.68734310102</v>
      </c>
      <c r="EM109" s="88">
        <f t="shared" si="52"/>
        <v>516</v>
      </c>
      <c r="EN109" s="74">
        <v>509</v>
      </c>
      <c r="EO109" s="74">
        <f t="shared" si="53"/>
        <v>7</v>
      </c>
      <c r="EP109" s="72">
        <v>512</v>
      </c>
      <c r="EQ109" s="74">
        <f t="shared" si="61"/>
        <v>3</v>
      </c>
      <c r="ER109" s="72">
        <v>506</v>
      </c>
      <c r="ES109" s="74">
        <f t="shared" si="62"/>
        <v>10</v>
      </c>
      <c r="ET109" s="74"/>
      <c r="EU109" s="74"/>
      <c r="EV109" s="74"/>
      <c r="EW109" s="89"/>
      <c r="EX109" s="81">
        <f t="shared" si="65"/>
        <v>6549519.1058281139</v>
      </c>
      <c r="EY109" s="81">
        <f t="shared" si="66"/>
        <v>586752.32041428506</v>
      </c>
    </row>
    <row r="110" spans="1:155" x14ac:dyDescent="0.25">
      <c r="A110" s="76">
        <v>331</v>
      </c>
      <c r="B110" s="76" t="s">
        <v>251</v>
      </c>
      <c r="C110" s="77" t="s">
        <v>135</v>
      </c>
      <c r="D110" s="41">
        <v>6</v>
      </c>
      <c r="E110" s="78">
        <v>315</v>
      </c>
      <c r="F110" s="78">
        <v>84</v>
      </c>
      <c r="G110" s="79">
        <v>173177.12015668923</v>
      </c>
      <c r="H110" s="79">
        <v>109114.27619794433</v>
      </c>
      <c r="I110" s="79">
        <v>112316.1761253514</v>
      </c>
      <c r="J110" s="79">
        <v>0</v>
      </c>
      <c r="K110" s="79">
        <v>0</v>
      </c>
      <c r="L110" s="79">
        <v>81577.320156689224</v>
      </c>
      <c r="M110" s="79">
        <v>59319.676384927567</v>
      </c>
      <c r="N110" s="79">
        <v>0</v>
      </c>
      <c r="O110" s="79">
        <v>0</v>
      </c>
      <c r="P110" s="79">
        <v>0</v>
      </c>
      <c r="Q110" s="79"/>
      <c r="R110" s="79">
        <v>69375.836746740591</v>
      </c>
      <c r="S110" s="79">
        <v>54629.386746740587</v>
      </c>
      <c r="T110" s="79">
        <v>97917.473493481171</v>
      </c>
      <c r="U110" s="79">
        <v>109114.27619794433</v>
      </c>
      <c r="V110" s="79">
        <v>109114.27619794433</v>
      </c>
      <c r="W110" s="79">
        <v>109114.27619794433</v>
      </c>
      <c r="X110" s="79">
        <v>109114.27619794433</v>
      </c>
      <c r="Y110" s="79">
        <v>0</v>
      </c>
      <c r="Z110" s="79"/>
      <c r="AA110" s="79">
        <v>218228.55239588866</v>
      </c>
      <c r="AB110" s="79">
        <v>68805.252769855142</v>
      </c>
      <c r="AC110" s="79">
        <v>0</v>
      </c>
      <c r="AD110" s="79">
        <v>0</v>
      </c>
      <c r="AE110" s="79">
        <v>218228.55239588866</v>
      </c>
      <c r="AF110" s="79">
        <v>68805.252769855142</v>
      </c>
      <c r="AG110" s="79">
        <v>327342.82859383302</v>
      </c>
      <c r="AH110" s="79">
        <v>103207.87915478271</v>
      </c>
      <c r="AI110" s="79">
        <v>327342.82859383302</v>
      </c>
      <c r="AJ110" s="79">
        <v>218228.55239588866</v>
      </c>
      <c r="AK110" s="79">
        <v>327342.82859383302</v>
      </c>
      <c r="AL110" s="79">
        <v>218228.55239588866</v>
      </c>
      <c r="AM110" s="79">
        <v>0</v>
      </c>
      <c r="AN110" s="79">
        <v>0</v>
      </c>
      <c r="AO110" s="79">
        <v>0</v>
      </c>
      <c r="AP110" s="79">
        <v>0</v>
      </c>
      <c r="AQ110" s="79">
        <v>0</v>
      </c>
      <c r="AR110" s="79">
        <v>0</v>
      </c>
      <c r="AS110" s="79">
        <v>0</v>
      </c>
      <c r="AT110" s="79">
        <v>0</v>
      </c>
      <c r="AU110" s="79">
        <v>0</v>
      </c>
      <c r="AV110" s="79"/>
      <c r="AW110" s="79">
        <v>0</v>
      </c>
      <c r="AX110" s="79">
        <v>109114.27619794433</v>
      </c>
      <c r="AY110" s="79">
        <v>109114.27619794433</v>
      </c>
      <c r="AZ110" s="79">
        <v>436457.10479177732</v>
      </c>
      <c r="BA110" s="79">
        <v>34402.626384927571</v>
      </c>
      <c r="BB110" s="79">
        <v>48063.47638492757</v>
      </c>
      <c r="BC110" s="79">
        <v>0</v>
      </c>
      <c r="BD110" s="79">
        <v>19838.959308717152</v>
      </c>
      <c r="BE110" s="79">
        <v>0</v>
      </c>
      <c r="BF110" s="79">
        <v>0</v>
      </c>
      <c r="BG110" s="79">
        <v>0</v>
      </c>
      <c r="BH110" s="79">
        <v>0</v>
      </c>
      <c r="BI110" s="79">
        <v>0</v>
      </c>
      <c r="BJ110" s="79"/>
      <c r="BK110" s="79">
        <v>0</v>
      </c>
      <c r="BL110" s="79"/>
      <c r="BM110" s="79">
        <v>39174.06</v>
      </c>
      <c r="BN110" s="79">
        <v>623.36</v>
      </c>
      <c r="BO110" s="79">
        <v>5375</v>
      </c>
      <c r="BP110" s="79">
        <v>0</v>
      </c>
      <c r="BQ110" s="79">
        <v>0</v>
      </c>
      <c r="BR110" s="79">
        <v>0</v>
      </c>
      <c r="BS110" s="79">
        <v>0</v>
      </c>
      <c r="BT110" s="79">
        <v>0</v>
      </c>
      <c r="BU110" s="79">
        <v>0</v>
      </c>
      <c r="BV110" s="80">
        <v>0</v>
      </c>
      <c r="BW110" s="80">
        <v>0</v>
      </c>
      <c r="BX110" s="80">
        <v>0</v>
      </c>
      <c r="BY110" s="80">
        <v>0</v>
      </c>
      <c r="BZ110" s="80">
        <v>0</v>
      </c>
      <c r="CA110" s="80">
        <v>0</v>
      </c>
      <c r="CB110" s="80">
        <v>0</v>
      </c>
      <c r="CC110" s="80">
        <v>0</v>
      </c>
      <c r="CD110" s="79">
        <v>0</v>
      </c>
      <c r="CE110" s="79">
        <v>0</v>
      </c>
      <c r="CF110" s="79">
        <v>0</v>
      </c>
      <c r="CG110" s="79">
        <v>0</v>
      </c>
      <c r="CH110" s="79">
        <v>0</v>
      </c>
      <c r="CI110" s="79">
        <v>0</v>
      </c>
      <c r="CJ110" s="79">
        <v>0</v>
      </c>
      <c r="CK110" s="79">
        <v>0</v>
      </c>
      <c r="CL110" s="79">
        <v>0</v>
      </c>
      <c r="CM110" s="79">
        <v>54082.8</v>
      </c>
      <c r="CN110" s="79">
        <v>0</v>
      </c>
      <c r="CO110" s="79">
        <v>0</v>
      </c>
      <c r="CP110" s="79">
        <v>0</v>
      </c>
      <c r="CQ110" s="79">
        <v>1680</v>
      </c>
      <c r="CR110" s="79">
        <v>0</v>
      </c>
      <c r="CS110" s="79">
        <v>18640.7</v>
      </c>
      <c r="CT110" s="79"/>
      <c r="CU110" s="79">
        <v>0</v>
      </c>
      <c r="CV110" s="79"/>
      <c r="CW110" s="79">
        <v>0</v>
      </c>
      <c r="CX110" s="79">
        <v>0</v>
      </c>
      <c r="CY110" s="79">
        <v>0</v>
      </c>
      <c r="CZ110" s="79">
        <v>0</v>
      </c>
      <c r="DA110" s="79">
        <v>31500</v>
      </c>
      <c r="DB110" s="79">
        <v>65150.842339030627</v>
      </c>
      <c r="DC110" s="82">
        <v>0</v>
      </c>
      <c r="DD110" s="79">
        <v>15363.214285714286</v>
      </c>
      <c r="DE110" s="79"/>
      <c r="DF110" s="79">
        <v>850</v>
      </c>
      <c r="DG110" s="79">
        <v>0</v>
      </c>
      <c r="DH110" s="83">
        <v>0</v>
      </c>
      <c r="DI110" s="79">
        <v>13584.368719844035</v>
      </c>
      <c r="DJ110" s="79">
        <v>4279076.1467508702</v>
      </c>
      <c r="DK110" s="84">
        <v>3.2491302117705345E-3</v>
      </c>
      <c r="DL110" s="84">
        <v>0</v>
      </c>
      <c r="DM110" s="84">
        <f t="shared" si="54"/>
        <v>4279076.1500000004</v>
      </c>
      <c r="DN110" s="84">
        <f>'[7]FY20 Initial Budget Alloca FTE'!F110*DN$1</f>
        <v>184452.24000000002</v>
      </c>
      <c r="DO110" s="81">
        <f t="shared" si="40"/>
        <v>0</v>
      </c>
      <c r="DP110" s="81">
        <f t="shared" si="55"/>
        <v>2530</v>
      </c>
      <c r="DQ110" s="74">
        <f t="shared" si="56"/>
        <v>181922.24000000002</v>
      </c>
      <c r="DR110" s="85">
        <f t="shared" si="64"/>
        <v>0.98628371224984857</v>
      </c>
      <c r="DS110" s="81">
        <f t="shared" si="57"/>
        <v>3223014.753198918</v>
      </c>
      <c r="DT110" s="81">
        <f t="shared" si="67"/>
        <v>737151.75995752111</v>
      </c>
      <c r="DU110" s="81">
        <f t="shared" si="42"/>
        <v>19838.959308717152</v>
      </c>
      <c r="DV110" s="81">
        <f t="shared" si="69"/>
        <v>45172.42</v>
      </c>
      <c r="DW110" s="81">
        <f t="shared" si="43"/>
        <v>15363.214285714286</v>
      </c>
      <c r="DX110" s="81">
        <f t="shared" si="44"/>
        <v>0</v>
      </c>
      <c r="DY110" s="81">
        <f t="shared" si="45"/>
        <v>0</v>
      </c>
      <c r="DZ110" s="81">
        <f t="shared" si="46"/>
        <v>54082.8</v>
      </c>
      <c r="EA110" s="74">
        <f t="shared" si="47"/>
        <v>181922.24000000002</v>
      </c>
      <c r="EB110" s="81">
        <f t="shared" si="68"/>
        <v>0</v>
      </c>
      <c r="EC110" s="81">
        <f t="shared" si="68"/>
        <v>2530</v>
      </c>
      <c r="ED110" s="86">
        <f t="shared" si="58"/>
        <v>0.98628371224984857</v>
      </c>
      <c r="EE110" s="81">
        <f t="shared" si="59"/>
        <v>184452.24000000002</v>
      </c>
      <c r="EF110" s="81">
        <f t="shared" si="60"/>
        <v>4279076.1467508702</v>
      </c>
      <c r="EG110" s="81">
        <f t="shared" si="49"/>
        <v>0</v>
      </c>
      <c r="EH110" s="81">
        <v>3472710.9816501816</v>
      </c>
      <c r="EI110" s="84">
        <f t="shared" si="63"/>
        <v>4224993.3467508703</v>
      </c>
      <c r="EJ110" s="74">
        <f t="shared" si="50"/>
        <v>806365.16510068858</v>
      </c>
      <c r="EK110" s="74">
        <f t="shared" si="51"/>
        <v>752282.36510068877</v>
      </c>
      <c r="EM110" s="88">
        <f t="shared" si="52"/>
        <v>315</v>
      </c>
      <c r="EN110" s="74">
        <v>263</v>
      </c>
      <c r="EO110" s="74">
        <f t="shared" si="53"/>
        <v>52</v>
      </c>
      <c r="EP110" s="72">
        <v>270</v>
      </c>
      <c r="EQ110" s="74">
        <f t="shared" si="61"/>
        <v>7</v>
      </c>
      <c r="ER110" s="72">
        <v>349</v>
      </c>
      <c r="ES110" s="74">
        <f t="shared" si="62"/>
        <v>-34</v>
      </c>
      <c r="ET110" s="74"/>
      <c r="EU110" s="74"/>
      <c r="EV110" s="74"/>
      <c r="EW110" s="89"/>
      <c r="EX110" s="81">
        <f t="shared" si="65"/>
        <v>4046636.1701261252</v>
      </c>
      <c r="EY110" s="81">
        <f t="shared" si="66"/>
        <v>232439.97662474492</v>
      </c>
    </row>
    <row r="111" spans="1:155" x14ac:dyDescent="0.25">
      <c r="A111" s="76">
        <v>332</v>
      </c>
      <c r="B111" s="76" t="s">
        <v>252</v>
      </c>
      <c r="C111" s="77" t="s">
        <v>150</v>
      </c>
      <c r="D111" s="41">
        <v>6</v>
      </c>
      <c r="E111" s="78">
        <v>374</v>
      </c>
      <c r="F111" s="78">
        <v>310</v>
      </c>
      <c r="G111" s="79">
        <v>173177.12015668923</v>
      </c>
      <c r="H111" s="79">
        <v>109114.27619794433</v>
      </c>
      <c r="I111" s="79">
        <v>42118.566047006767</v>
      </c>
      <c r="J111" s="79">
        <v>109114.27619794433</v>
      </c>
      <c r="K111" s="79">
        <v>0</v>
      </c>
      <c r="L111" s="79">
        <v>81577.320156689224</v>
      </c>
      <c r="M111" s="79">
        <v>59319.676384927567</v>
      </c>
      <c r="N111" s="79">
        <v>0</v>
      </c>
      <c r="O111" s="79">
        <v>0</v>
      </c>
      <c r="P111" s="79">
        <v>0</v>
      </c>
      <c r="Q111" s="79"/>
      <c r="R111" s="79">
        <v>69375.836746740591</v>
      </c>
      <c r="S111" s="79">
        <v>54629.386746740587</v>
      </c>
      <c r="T111" s="79">
        <v>146876.21024022176</v>
      </c>
      <c r="U111" s="79">
        <v>109114.27619794433</v>
      </c>
      <c r="V111" s="79">
        <v>109114.27619794433</v>
      </c>
      <c r="W111" s="79">
        <v>109114.27619794433</v>
      </c>
      <c r="X111" s="79">
        <v>109114.27619794433</v>
      </c>
      <c r="Y111" s="79">
        <v>0</v>
      </c>
      <c r="Z111" s="79"/>
      <c r="AA111" s="79">
        <v>218228.55239588866</v>
      </c>
      <c r="AB111" s="79">
        <v>68805.252769855142</v>
      </c>
      <c r="AC111" s="79">
        <v>0</v>
      </c>
      <c r="AD111" s="79">
        <v>0</v>
      </c>
      <c r="AE111" s="79">
        <v>218228.55239588866</v>
      </c>
      <c r="AF111" s="79">
        <v>68805.252769855142</v>
      </c>
      <c r="AG111" s="79">
        <v>327342.82859383302</v>
      </c>
      <c r="AH111" s="79">
        <v>103207.87915478271</v>
      </c>
      <c r="AI111" s="79">
        <v>218228.55239588866</v>
      </c>
      <c r="AJ111" s="79">
        <v>218228.55239588866</v>
      </c>
      <c r="AK111" s="79">
        <v>218228.55239588866</v>
      </c>
      <c r="AL111" s="79">
        <v>218228.55239588866</v>
      </c>
      <c r="AM111" s="79">
        <v>109114.27619794433</v>
      </c>
      <c r="AN111" s="79">
        <v>163671.41429691651</v>
      </c>
      <c r="AO111" s="79">
        <v>130937.13143753319</v>
      </c>
      <c r="AP111" s="79">
        <v>120025.70381773877</v>
      </c>
      <c r="AQ111" s="79">
        <v>0</v>
      </c>
      <c r="AR111" s="79">
        <v>0</v>
      </c>
      <c r="AS111" s="79">
        <v>0</v>
      </c>
      <c r="AT111" s="79">
        <v>0</v>
      </c>
      <c r="AU111" s="79">
        <v>0</v>
      </c>
      <c r="AV111" s="79"/>
      <c r="AW111" s="79">
        <v>0</v>
      </c>
      <c r="AX111" s="79">
        <v>109114.27619794433</v>
      </c>
      <c r="AY111" s="79">
        <v>218228.55239588866</v>
      </c>
      <c r="AZ111" s="79">
        <v>1091142.7619794433</v>
      </c>
      <c r="BA111" s="79">
        <v>275221.01107942057</v>
      </c>
      <c r="BB111" s="79">
        <v>0</v>
      </c>
      <c r="BC111" s="79">
        <v>0</v>
      </c>
      <c r="BD111" s="79">
        <v>109114.27619794433</v>
      </c>
      <c r="BE111" s="79">
        <v>0</v>
      </c>
      <c r="BF111" s="79">
        <v>0</v>
      </c>
      <c r="BG111" s="79">
        <f>35916-BL111</f>
        <v>12721.8</v>
      </c>
      <c r="BH111" s="79">
        <v>33672</v>
      </c>
      <c r="BI111" s="79">
        <v>6734</v>
      </c>
      <c r="BJ111" s="79"/>
      <c r="BK111" s="79">
        <v>0</v>
      </c>
      <c r="BL111" s="79">
        <v>23194.2</v>
      </c>
      <c r="BM111" s="79">
        <v>206794.27</v>
      </c>
      <c r="BN111" s="79">
        <v>3290.63</v>
      </c>
      <c r="BO111" s="79">
        <v>0</v>
      </c>
      <c r="BP111" s="79">
        <v>0</v>
      </c>
      <c r="BQ111" s="79">
        <v>0</v>
      </c>
      <c r="BR111" s="79">
        <v>0</v>
      </c>
      <c r="BS111" s="79">
        <v>0</v>
      </c>
      <c r="BT111" s="79">
        <v>0</v>
      </c>
      <c r="BU111" s="79">
        <v>0</v>
      </c>
      <c r="BV111" s="80">
        <v>0</v>
      </c>
      <c r="BW111" s="80">
        <v>0</v>
      </c>
      <c r="BX111" s="80">
        <v>0</v>
      </c>
      <c r="BY111" s="80">
        <v>0</v>
      </c>
      <c r="BZ111" s="80">
        <v>0</v>
      </c>
      <c r="CA111" s="80">
        <v>0</v>
      </c>
      <c r="CB111" s="80">
        <v>0</v>
      </c>
      <c r="CC111" s="80">
        <v>0</v>
      </c>
      <c r="CD111" s="79">
        <v>0</v>
      </c>
      <c r="CE111" s="79">
        <v>0</v>
      </c>
      <c r="CF111" s="79">
        <v>0</v>
      </c>
      <c r="CG111" s="79">
        <v>0</v>
      </c>
      <c r="CH111" s="79">
        <v>0</v>
      </c>
      <c r="CI111" s="79">
        <v>218228.55239588866</v>
      </c>
      <c r="CJ111" s="79">
        <v>0</v>
      </c>
      <c r="CK111" s="79">
        <v>23000</v>
      </c>
      <c r="CL111" s="79">
        <v>5000</v>
      </c>
      <c r="CM111" s="79">
        <v>236038.47999999998</v>
      </c>
      <c r="CN111" s="79">
        <v>100000</v>
      </c>
      <c r="CO111" s="79">
        <v>0</v>
      </c>
      <c r="CP111" s="79">
        <v>0</v>
      </c>
      <c r="CQ111" s="79">
        <v>12400</v>
      </c>
      <c r="CR111" s="79">
        <v>0</v>
      </c>
      <c r="CS111" s="79">
        <v>22373.428571428572</v>
      </c>
      <c r="CT111" s="79"/>
      <c r="CU111" s="79">
        <v>0</v>
      </c>
      <c r="CV111" s="79"/>
      <c r="CW111" s="79">
        <v>0</v>
      </c>
      <c r="CX111" s="79">
        <v>0</v>
      </c>
      <c r="CY111" s="79">
        <v>0</v>
      </c>
      <c r="CZ111" s="79">
        <v>0</v>
      </c>
      <c r="DA111" s="79">
        <v>37400</v>
      </c>
      <c r="DB111" s="79">
        <v>93445.853142964741</v>
      </c>
      <c r="DC111" s="82">
        <v>0</v>
      </c>
      <c r="DD111" s="79">
        <v>0</v>
      </c>
      <c r="DE111" s="79"/>
      <c r="DF111" s="79">
        <v>28800</v>
      </c>
      <c r="DG111" s="79">
        <v>0</v>
      </c>
      <c r="DH111" s="83">
        <v>0</v>
      </c>
      <c r="DI111" s="79">
        <v>17510.574649843304</v>
      </c>
      <c r="DJ111" s="79">
        <v>6548954.9190413933</v>
      </c>
      <c r="DK111" s="84">
        <v>8.095860667526722E-2</v>
      </c>
      <c r="DL111" s="84">
        <v>36549.019999999997</v>
      </c>
      <c r="DM111" s="84">
        <f t="shared" si="54"/>
        <v>6585504.0199999996</v>
      </c>
      <c r="DN111" s="84">
        <f>'[7]FY20 Initial Budget Alloca FTE'!F111*DN$1</f>
        <v>680716.60000000009</v>
      </c>
      <c r="DO111" s="81">
        <f t="shared" si="40"/>
        <v>53127.8</v>
      </c>
      <c r="DP111" s="81">
        <f t="shared" si="55"/>
        <v>41200</v>
      </c>
      <c r="DQ111" s="74">
        <f t="shared" si="56"/>
        <v>586388.80000000005</v>
      </c>
      <c r="DR111" s="85" t="s">
        <v>376</v>
      </c>
      <c r="DS111" s="81">
        <f t="shared" si="57"/>
        <v>3596099.861190754</v>
      </c>
      <c r="DT111" s="81">
        <f t="shared" si="67"/>
        <v>1693706.601652697</v>
      </c>
      <c r="DU111" s="81">
        <f t="shared" si="42"/>
        <v>109114.27619794433</v>
      </c>
      <c r="DV111" s="81">
        <f t="shared" si="69"/>
        <v>233279.1</v>
      </c>
      <c r="DW111" s="81">
        <f t="shared" si="43"/>
        <v>0</v>
      </c>
      <c r="DX111" s="81">
        <f t="shared" si="44"/>
        <v>0</v>
      </c>
      <c r="DY111" s="81">
        <f t="shared" si="45"/>
        <v>0</v>
      </c>
      <c r="DZ111" s="81">
        <f t="shared" si="46"/>
        <v>236038.47999999998</v>
      </c>
      <c r="EA111" s="74">
        <f t="shared" si="47"/>
        <v>586388.80000000005</v>
      </c>
      <c r="EB111" s="81">
        <f t="shared" si="68"/>
        <v>53127.8</v>
      </c>
      <c r="EC111" s="81">
        <f t="shared" si="68"/>
        <v>41200</v>
      </c>
      <c r="ED111" s="86">
        <f t="shared" si="58"/>
        <v>0.86142867677973467</v>
      </c>
      <c r="EE111" s="81">
        <f t="shared" si="59"/>
        <v>680716.60000000009</v>
      </c>
      <c r="EF111" s="81">
        <f t="shared" si="60"/>
        <v>6548954.9190413952</v>
      </c>
      <c r="EG111" s="81">
        <f t="shared" si="49"/>
        <v>0</v>
      </c>
      <c r="EH111" s="81">
        <v>6400571.3778358856</v>
      </c>
      <c r="EI111" s="84">
        <f t="shared" si="63"/>
        <v>6312916.4390413929</v>
      </c>
      <c r="EJ111" s="74">
        <f t="shared" si="50"/>
        <v>148383.5412055077</v>
      </c>
      <c r="EK111" s="74">
        <f t="shared" si="51"/>
        <v>-87654.938794492744</v>
      </c>
      <c r="EM111" s="88">
        <f t="shared" si="52"/>
        <v>374</v>
      </c>
      <c r="EN111" s="74">
        <v>429</v>
      </c>
      <c r="EO111" s="74">
        <f t="shared" si="53"/>
        <v>-55</v>
      </c>
      <c r="EP111" s="90">
        <v>384</v>
      </c>
      <c r="EQ111" s="74">
        <f t="shared" si="61"/>
        <v>-45</v>
      </c>
      <c r="ER111" s="72">
        <v>438</v>
      </c>
      <c r="ES111" s="74">
        <f t="shared" si="62"/>
        <v>-64</v>
      </c>
      <c r="ET111" s="74"/>
      <c r="EU111" s="74"/>
      <c r="EV111" s="74"/>
      <c r="EW111" s="89"/>
      <c r="EX111" s="81">
        <f t="shared" si="65"/>
        <v>5757218.0573270014</v>
      </c>
      <c r="EY111" s="81">
        <f t="shared" si="66"/>
        <v>791736.86171439325</v>
      </c>
    </row>
    <row r="112" spans="1:155" x14ac:dyDescent="0.25">
      <c r="A112" s="76">
        <v>474</v>
      </c>
      <c r="B112" s="76" t="s">
        <v>377</v>
      </c>
      <c r="C112" s="77" t="s">
        <v>138</v>
      </c>
      <c r="D112" s="41">
        <v>1</v>
      </c>
      <c r="E112" s="78">
        <v>136</v>
      </c>
      <c r="F112" s="78">
        <v>0</v>
      </c>
      <c r="G112" s="79">
        <v>173177.12015668923</v>
      </c>
      <c r="H112" s="79">
        <v>109114.27619794433</v>
      </c>
      <c r="I112" s="79">
        <v>56158.088062675699</v>
      </c>
      <c r="J112" s="79">
        <v>0</v>
      </c>
      <c r="K112" s="79">
        <v>64676.482381449823</v>
      </c>
      <c r="L112" s="79">
        <v>40788.660078344612</v>
      </c>
      <c r="M112" s="79">
        <v>59319.676384927567</v>
      </c>
      <c r="N112" s="79">
        <v>0</v>
      </c>
      <c r="O112" s="79">
        <v>50130.026384927565</v>
      </c>
      <c r="P112" s="79">
        <v>62573.586746740584</v>
      </c>
      <c r="Q112" s="79"/>
      <c r="R112" s="79">
        <v>69375.836746740591</v>
      </c>
      <c r="S112" s="79">
        <v>54629.386746740587</v>
      </c>
      <c r="T112" s="79">
        <v>97917.473493481171</v>
      </c>
      <c r="U112" s="79">
        <v>54557.138098972166</v>
      </c>
      <c r="V112" s="79">
        <v>0</v>
      </c>
      <c r="W112" s="79">
        <v>0</v>
      </c>
      <c r="X112" s="79">
        <v>0</v>
      </c>
      <c r="Y112" s="79">
        <v>0</v>
      </c>
      <c r="Z112" s="79"/>
      <c r="AA112" s="79">
        <v>0</v>
      </c>
      <c r="AB112" s="79">
        <v>0</v>
      </c>
      <c r="AC112" s="79">
        <v>0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>
        <v>0</v>
      </c>
      <c r="AJ112" s="79">
        <v>0</v>
      </c>
      <c r="AK112" s="79">
        <v>0</v>
      </c>
      <c r="AL112" s="79">
        <v>0</v>
      </c>
      <c r="AM112" s="79">
        <v>0</v>
      </c>
      <c r="AN112" s="79">
        <v>0</v>
      </c>
      <c r="AO112" s="79">
        <v>0</v>
      </c>
      <c r="AP112" s="79">
        <v>392811.39431259962</v>
      </c>
      <c r="AQ112" s="79">
        <v>272785.69049486081</v>
      </c>
      <c r="AR112" s="79">
        <v>130937.13143753319</v>
      </c>
      <c r="AS112" s="79">
        <v>98202.848578149904</v>
      </c>
      <c r="AT112" s="79">
        <v>32734.282859383296</v>
      </c>
      <c r="AU112" s="79">
        <v>0</v>
      </c>
      <c r="AV112" s="79"/>
      <c r="AW112" s="79">
        <v>0</v>
      </c>
      <c r="AX112" s="79">
        <v>54557.138098972166</v>
      </c>
      <c r="AY112" s="79">
        <v>327342.82859383302</v>
      </c>
      <c r="AZ112" s="79">
        <v>763799.93338561035</v>
      </c>
      <c r="BA112" s="79">
        <v>68805.252769855142</v>
      </c>
      <c r="BB112" s="79">
        <v>48063.47638492757</v>
      </c>
      <c r="BC112" s="79">
        <v>0</v>
      </c>
      <c r="BD112" s="79">
        <v>34718.178790255013</v>
      </c>
      <c r="BE112" s="79">
        <v>0</v>
      </c>
      <c r="BF112" s="79">
        <v>0</v>
      </c>
      <c r="BG112" s="79">
        <v>0</v>
      </c>
      <c r="BH112" s="79">
        <v>0</v>
      </c>
      <c r="BI112" s="79">
        <v>0</v>
      </c>
      <c r="BJ112" s="79">
        <v>60000</v>
      </c>
      <c r="BK112" s="79">
        <v>0</v>
      </c>
      <c r="BL112" s="79"/>
      <c r="BM112" s="79">
        <v>90323.94</v>
      </c>
      <c r="BN112" s="79">
        <v>1437.29</v>
      </c>
      <c r="BO112" s="79">
        <v>0</v>
      </c>
      <c r="BP112" s="79">
        <v>0</v>
      </c>
      <c r="BQ112" s="79">
        <v>0</v>
      </c>
      <c r="BR112" s="79">
        <v>0</v>
      </c>
      <c r="BS112" s="79">
        <v>0</v>
      </c>
      <c r="BT112" s="79">
        <v>0</v>
      </c>
      <c r="BU112" s="79">
        <v>0</v>
      </c>
      <c r="BV112" s="80">
        <v>0</v>
      </c>
      <c r="BW112" s="80">
        <v>0</v>
      </c>
      <c r="BX112" s="80">
        <v>0</v>
      </c>
      <c r="BY112" s="80">
        <v>0</v>
      </c>
      <c r="BZ112" s="80">
        <v>0</v>
      </c>
      <c r="CA112" s="80">
        <v>0</v>
      </c>
      <c r="CB112" s="80">
        <v>0</v>
      </c>
      <c r="CC112" s="80">
        <v>0</v>
      </c>
      <c r="CD112" s="79">
        <v>0</v>
      </c>
      <c r="CE112" s="79">
        <v>0</v>
      </c>
      <c r="CF112" s="79">
        <v>0</v>
      </c>
      <c r="CG112" s="79">
        <v>0</v>
      </c>
      <c r="CH112" s="79">
        <v>0</v>
      </c>
      <c r="CI112" s="79">
        <v>0</v>
      </c>
      <c r="CJ112" s="79">
        <v>0</v>
      </c>
      <c r="CK112" s="79">
        <v>9500</v>
      </c>
      <c r="CL112" s="79">
        <v>0</v>
      </c>
      <c r="CM112" s="79">
        <v>295048.09999999998</v>
      </c>
      <c r="CN112" s="79">
        <v>0</v>
      </c>
      <c r="CO112" s="79">
        <v>0</v>
      </c>
      <c r="CP112" s="79">
        <v>0</v>
      </c>
      <c r="CQ112" s="79">
        <v>0</v>
      </c>
      <c r="CR112" s="79">
        <v>0</v>
      </c>
      <c r="CS112" s="79">
        <v>20973.5128</v>
      </c>
      <c r="CT112" s="79">
        <v>99451</v>
      </c>
      <c r="CU112" s="87"/>
      <c r="CV112" s="79">
        <v>150000</v>
      </c>
      <c r="CW112" s="87"/>
      <c r="CX112" s="79">
        <v>0</v>
      </c>
      <c r="CY112" s="79">
        <v>0</v>
      </c>
      <c r="CZ112" s="79">
        <v>0</v>
      </c>
      <c r="DA112" s="79">
        <v>13600</v>
      </c>
      <c r="DB112" s="79">
        <v>51787.693205688382</v>
      </c>
      <c r="DC112" s="82">
        <v>0</v>
      </c>
      <c r="DD112" s="79">
        <v>10000</v>
      </c>
      <c r="DE112" s="79">
        <v>5500</v>
      </c>
      <c r="DF112" s="87"/>
      <c r="DG112" s="79">
        <v>0</v>
      </c>
      <c r="DH112" s="83">
        <v>315406.93880869757</v>
      </c>
      <c r="DI112" s="79">
        <v>31177.973397058817</v>
      </c>
      <c r="DJ112" s="79">
        <v>4240204.3820000002</v>
      </c>
      <c r="DK112" s="84">
        <v>-2.0000003278255463E-3</v>
      </c>
      <c r="DL112" s="84">
        <v>131190.78</v>
      </c>
      <c r="DM112" s="84">
        <f t="shared" si="54"/>
        <v>4371395.16</v>
      </c>
      <c r="DN112" s="84">
        <f>'[7]FY20 Initial Budget Alloca FTE'!F112*DN$1</f>
        <v>0</v>
      </c>
      <c r="DO112" s="81">
        <f t="shared" si="40"/>
        <v>0</v>
      </c>
      <c r="DP112" s="81">
        <f t="shared" si="55"/>
        <v>0</v>
      </c>
      <c r="DQ112" s="74">
        <f t="shared" si="56"/>
        <v>0</v>
      </c>
      <c r="DR112" s="85"/>
      <c r="DS112" s="81">
        <f t="shared" si="57"/>
        <v>2230701.3051678492</v>
      </c>
      <c r="DT112" s="81">
        <f t="shared" si="67"/>
        <v>1262568.629233198</v>
      </c>
      <c r="DU112" s="81">
        <f t="shared" si="42"/>
        <v>34718.178790255013</v>
      </c>
      <c r="DV112" s="81">
        <f t="shared" si="69"/>
        <v>91761.23</v>
      </c>
      <c r="DW112" s="81">
        <f t="shared" si="43"/>
        <v>10000</v>
      </c>
      <c r="DX112" s="81">
        <f t="shared" si="44"/>
        <v>0</v>
      </c>
      <c r="DY112" s="81">
        <f t="shared" si="45"/>
        <v>315406.93880869757</v>
      </c>
      <c r="DZ112" s="81">
        <f t="shared" si="46"/>
        <v>295048.09999999998</v>
      </c>
      <c r="EA112" s="74">
        <f t="shared" si="47"/>
        <v>0</v>
      </c>
      <c r="EB112" s="81">
        <f t="shared" si="68"/>
        <v>0</v>
      </c>
      <c r="EC112" s="81">
        <f t="shared" si="68"/>
        <v>0</v>
      </c>
      <c r="ED112" s="86" t="s">
        <v>142</v>
      </c>
      <c r="EE112" s="81">
        <f t="shared" si="59"/>
        <v>0</v>
      </c>
      <c r="EF112" s="81">
        <f t="shared" si="60"/>
        <v>4240204.3820000002</v>
      </c>
      <c r="EG112" s="81">
        <f t="shared" si="49"/>
        <v>0</v>
      </c>
      <c r="EH112" s="81">
        <v>4458055.5203959225</v>
      </c>
      <c r="EI112" s="84">
        <f t="shared" si="63"/>
        <v>3945156.2820000001</v>
      </c>
      <c r="EJ112" s="74">
        <f t="shared" si="50"/>
        <v>-217851.13839592226</v>
      </c>
      <c r="EK112" s="74">
        <f t="shared" si="51"/>
        <v>-512899.23839592235</v>
      </c>
      <c r="EM112" s="88">
        <f t="shared" si="52"/>
        <v>136</v>
      </c>
      <c r="EN112" s="74">
        <v>209</v>
      </c>
      <c r="EO112" s="74">
        <f t="shared" si="53"/>
        <v>-73</v>
      </c>
      <c r="EP112" s="90">
        <v>136</v>
      </c>
      <c r="EQ112" s="74">
        <f t="shared" si="61"/>
        <v>-73</v>
      </c>
      <c r="ER112" s="72">
        <v>204</v>
      </c>
      <c r="ES112" s="74">
        <f t="shared" si="62"/>
        <v>-68</v>
      </c>
      <c r="ET112" s="74"/>
      <c r="EU112" s="74"/>
      <c r="EV112" s="74"/>
      <c r="EW112" s="89"/>
      <c r="EX112" s="81">
        <f>SUM(G112:BI112,BP112:BV112,CA112:CB112,CD112:CI112,CO112,CT112,CX112)</f>
        <v>3216626.9071856141</v>
      </c>
      <c r="EY112" s="81">
        <f>SUM(BK112:BO112,BW112:BZ112,CC112,CK112:CN112,CP112:CS112,CV112,CY112:DH112)</f>
        <v>963577.47481438587</v>
      </c>
    </row>
    <row r="113" spans="1:155" x14ac:dyDescent="0.25">
      <c r="A113" s="76">
        <v>333</v>
      </c>
      <c r="B113" s="76" t="s">
        <v>253</v>
      </c>
      <c r="C113" s="77" t="s">
        <v>135</v>
      </c>
      <c r="D113" s="41">
        <v>6</v>
      </c>
      <c r="E113" s="78">
        <v>447</v>
      </c>
      <c r="F113" s="78">
        <v>128.40094339622641</v>
      </c>
      <c r="G113" s="79">
        <v>173177.12015668923</v>
      </c>
      <c r="H113" s="79">
        <v>109114.27619794433</v>
      </c>
      <c r="I113" s="79">
        <v>154434.74217235818</v>
      </c>
      <c r="J113" s="79">
        <v>0</v>
      </c>
      <c r="K113" s="79">
        <v>0</v>
      </c>
      <c r="L113" s="79">
        <v>81577.320156689224</v>
      </c>
      <c r="M113" s="79">
        <v>59319.676384927567</v>
      </c>
      <c r="N113" s="79">
        <v>49098.859023420329</v>
      </c>
      <c r="O113" s="79">
        <v>0</v>
      </c>
      <c r="P113" s="79">
        <v>0</v>
      </c>
      <c r="Q113" s="79"/>
      <c r="R113" s="79">
        <v>69375.836746740591</v>
      </c>
      <c r="S113" s="79">
        <v>54629.386746740587</v>
      </c>
      <c r="T113" s="79">
        <v>97917.473493481171</v>
      </c>
      <c r="U113" s="79">
        <v>109114.27619794433</v>
      </c>
      <c r="V113" s="79">
        <v>109114.27619794433</v>
      </c>
      <c r="W113" s="79">
        <v>109114.27619794433</v>
      </c>
      <c r="X113" s="79">
        <v>109114.27619794433</v>
      </c>
      <c r="Y113" s="79">
        <v>163671.41429691651</v>
      </c>
      <c r="Z113" s="79"/>
      <c r="AA113" s="79">
        <v>0</v>
      </c>
      <c r="AB113" s="79">
        <v>0</v>
      </c>
      <c r="AC113" s="79">
        <v>0</v>
      </c>
      <c r="AD113" s="79">
        <v>0</v>
      </c>
      <c r="AE113" s="79">
        <v>0</v>
      </c>
      <c r="AF113" s="79">
        <v>0</v>
      </c>
      <c r="AG113" s="79">
        <v>0</v>
      </c>
      <c r="AH113" s="79">
        <v>0</v>
      </c>
      <c r="AI113" s="79">
        <v>436457.10479177732</v>
      </c>
      <c r="AJ113" s="79">
        <v>436457.10479177732</v>
      </c>
      <c r="AK113" s="79">
        <v>436457.10479177732</v>
      </c>
      <c r="AL113" s="79">
        <v>436457.10479177732</v>
      </c>
      <c r="AM113" s="79">
        <v>436457.10479177732</v>
      </c>
      <c r="AN113" s="79">
        <v>0</v>
      </c>
      <c r="AO113" s="79">
        <v>0</v>
      </c>
      <c r="AP113" s="79">
        <v>0</v>
      </c>
      <c r="AQ113" s="79">
        <v>0</v>
      </c>
      <c r="AR113" s="79">
        <v>0</v>
      </c>
      <c r="AS113" s="79">
        <v>0</v>
      </c>
      <c r="AT113" s="79">
        <v>0</v>
      </c>
      <c r="AU113" s="79">
        <v>0</v>
      </c>
      <c r="AV113" s="79"/>
      <c r="AW113" s="79">
        <v>0</v>
      </c>
      <c r="AX113" s="79">
        <v>54557.138098972166</v>
      </c>
      <c r="AY113" s="79">
        <v>218228.55239588866</v>
      </c>
      <c r="AZ113" s="79">
        <v>327342.82859383302</v>
      </c>
      <c r="BA113" s="79">
        <v>0</v>
      </c>
      <c r="BB113" s="79">
        <v>0</v>
      </c>
      <c r="BC113" s="79">
        <v>0</v>
      </c>
      <c r="BD113" s="79">
        <v>19838.959308717152</v>
      </c>
      <c r="BE113" s="79">
        <v>0</v>
      </c>
      <c r="BF113" s="79">
        <v>0</v>
      </c>
      <c r="BG113" s="79">
        <v>29930</v>
      </c>
      <c r="BH113" s="79">
        <v>28060</v>
      </c>
      <c r="BI113" s="79">
        <v>6734</v>
      </c>
      <c r="BJ113" s="79"/>
      <c r="BK113" s="79">
        <v>0</v>
      </c>
      <c r="BL113" s="79"/>
      <c r="BM113" s="79">
        <v>0</v>
      </c>
      <c r="BN113" s="79">
        <v>0</v>
      </c>
      <c r="BO113" s="79">
        <v>10700</v>
      </c>
      <c r="BP113" s="79">
        <v>0</v>
      </c>
      <c r="BQ113" s="79">
        <v>0</v>
      </c>
      <c r="BR113" s="79">
        <v>0</v>
      </c>
      <c r="BS113" s="79">
        <v>0</v>
      </c>
      <c r="BT113" s="79">
        <v>0</v>
      </c>
      <c r="BU113" s="79">
        <v>0</v>
      </c>
      <c r="BV113" s="80">
        <v>0</v>
      </c>
      <c r="BW113" s="80">
        <v>0</v>
      </c>
      <c r="BX113" s="80">
        <v>0</v>
      </c>
      <c r="BY113" s="80">
        <v>0</v>
      </c>
      <c r="BZ113" s="80">
        <v>0</v>
      </c>
      <c r="CA113" s="80">
        <v>0</v>
      </c>
      <c r="CB113" s="80">
        <v>0</v>
      </c>
      <c r="CC113" s="80">
        <v>0</v>
      </c>
      <c r="CD113" s="79">
        <v>0</v>
      </c>
      <c r="CE113" s="79">
        <v>0</v>
      </c>
      <c r="CF113" s="79">
        <v>0</v>
      </c>
      <c r="CG113" s="79">
        <v>0</v>
      </c>
      <c r="CH113" s="79">
        <v>0</v>
      </c>
      <c r="CI113" s="79">
        <v>0</v>
      </c>
      <c r="CJ113" s="79">
        <v>0</v>
      </c>
      <c r="CK113" s="79">
        <v>0</v>
      </c>
      <c r="CL113" s="79">
        <v>0</v>
      </c>
      <c r="CM113" s="79">
        <v>108165.6</v>
      </c>
      <c r="CN113" s="79">
        <v>0</v>
      </c>
      <c r="CO113" s="79">
        <v>0</v>
      </c>
      <c r="CP113" s="79">
        <v>0</v>
      </c>
      <c r="CQ113" s="79">
        <v>2568.0188679245284</v>
      </c>
      <c r="CR113" s="79">
        <v>0</v>
      </c>
      <c r="CS113" s="79">
        <v>23645.094548551959</v>
      </c>
      <c r="CT113" s="79"/>
      <c r="CU113" s="79">
        <v>0</v>
      </c>
      <c r="CV113" s="79"/>
      <c r="CW113" s="79">
        <v>0</v>
      </c>
      <c r="CX113" s="79">
        <v>0</v>
      </c>
      <c r="CY113" s="79">
        <v>0</v>
      </c>
      <c r="CZ113" s="79">
        <v>0</v>
      </c>
      <c r="DA113" s="79">
        <v>44700</v>
      </c>
      <c r="DB113" s="79">
        <v>68441.522021636119</v>
      </c>
      <c r="DC113" s="82">
        <v>0</v>
      </c>
      <c r="DD113" s="79">
        <v>0</v>
      </c>
      <c r="DE113" s="79"/>
      <c r="DF113" s="79">
        <v>19250</v>
      </c>
      <c r="DG113" s="79">
        <v>0</v>
      </c>
      <c r="DH113" s="83">
        <v>0</v>
      </c>
      <c r="DI113" s="79">
        <v>10275.660957409611</v>
      </c>
      <c r="DJ113" s="79">
        <v>4593220.447962096</v>
      </c>
      <c r="DK113" s="84">
        <v>44390.552037904039</v>
      </c>
      <c r="DL113" s="84">
        <v>8811.15</v>
      </c>
      <c r="DM113" s="84">
        <f t="shared" si="54"/>
        <v>4646422.1500000004</v>
      </c>
      <c r="DN113" s="84">
        <f>'[7]FY20 Initial Budget Alloca FTE'!F113*DN$1</f>
        <v>281950.49556603772</v>
      </c>
      <c r="DO113" s="81">
        <f t="shared" si="40"/>
        <v>64724</v>
      </c>
      <c r="DP113" s="81">
        <f t="shared" si="55"/>
        <v>21818.018867924529</v>
      </c>
      <c r="DQ113" s="74">
        <f t="shared" si="56"/>
        <v>195408.4766981132</v>
      </c>
      <c r="DR113" s="85">
        <f t="shared" ref="DR113:DR118" si="70">DQ113/DN113</f>
        <v>0.69305952559443229</v>
      </c>
      <c r="DS113" s="81">
        <f t="shared" si="57"/>
        <v>3572436.8739986457</v>
      </c>
      <c r="DT113" s="81">
        <f t="shared" si="67"/>
        <v>600128.51908869389</v>
      </c>
      <c r="DU113" s="81">
        <f t="shared" si="42"/>
        <v>19838.959308717152</v>
      </c>
      <c r="DV113" s="81">
        <f t="shared" si="69"/>
        <v>10700</v>
      </c>
      <c r="DW113" s="81">
        <f t="shared" si="43"/>
        <v>0</v>
      </c>
      <c r="DX113" s="81">
        <f t="shared" si="44"/>
        <v>0</v>
      </c>
      <c r="DY113" s="81">
        <f t="shared" si="45"/>
        <v>0</v>
      </c>
      <c r="DZ113" s="81">
        <f t="shared" si="46"/>
        <v>108165.6</v>
      </c>
      <c r="EA113" s="74">
        <f t="shared" si="47"/>
        <v>195408.4766981132</v>
      </c>
      <c r="EB113" s="81">
        <f t="shared" si="68"/>
        <v>64724</v>
      </c>
      <c r="EC113" s="81">
        <f t="shared" si="68"/>
        <v>21818.018867924529</v>
      </c>
      <c r="ED113" s="86">
        <f t="shared" si="58"/>
        <v>0.69305952559443229</v>
      </c>
      <c r="EE113" s="81">
        <f t="shared" si="59"/>
        <v>281950.49556603772</v>
      </c>
      <c r="EF113" s="81">
        <f t="shared" si="60"/>
        <v>4593220.4479620941</v>
      </c>
      <c r="EG113" s="81">
        <f t="shared" si="49"/>
        <v>0</v>
      </c>
      <c r="EH113" s="81">
        <v>4563951.7048280034</v>
      </c>
      <c r="EI113" s="84">
        <f t="shared" si="63"/>
        <v>4485054.8479620963</v>
      </c>
      <c r="EJ113" s="74">
        <f t="shared" si="50"/>
        <v>29268.74313409254</v>
      </c>
      <c r="EK113" s="74">
        <f t="shared" si="51"/>
        <v>-78896.856865907088</v>
      </c>
      <c r="EM113" s="88">
        <f t="shared" si="52"/>
        <v>447</v>
      </c>
      <c r="EN113" s="74">
        <v>443</v>
      </c>
      <c r="EO113" s="74">
        <f t="shared" si="53"/>
        <v>4</v>
      </c>
      <c r="EP113" s="72">
        <v>444</v>
      </c>
      <c r="EQ113" s="74">
        <f t="shared" si="61"/>
        <v>1</v>
      </c>
      <c r="ER113" s="72">
        <v>406</v>
      </c>
      <c r="ES113" s="74">
        <f t="shared" si="62"/>
        <v>41</v>
      </c>
      <c r="ET113" s="74"/>
      <c r="EU113" s="74"/>
      <c r="EV113" s="74"/>
      <c r="EW113" s="89"/>
      <c r="EX113" s="81">
        <f t="shared" ref="EX113:EX119" si="71">SUM(G113:BI113,BP113:BV113,CA113:CB113,CD113:CI113,CO113,CU113,CX113)</f>
        <v>4315750.2125239829</v>
      </c>
      <c r="EY113" s="81">
        <f t="shared" ref="EY113:EY119" si="72">SUM(BK113:BO113,BW113:BZ113,CC113,CK113:CN113,CP113:CS113,CW113,CY113:DH113)</f>
        <v>277470.23543811264</v>
      </c>
    </row>
    <row r="114" spans="1:155" x14ac:dyDescent="0.25">
      <c r="A114" s="76">
        <v>336</v>
      </c>
      <c r="B114" s="76" t="s">
        <v>378</v>
      </c>
      <c r="C114" s="77" t="s">
        <v>150</v>
      </c>
      <c r="D114" s="41">
        <v>4</v>
      </c>
      <c r="E114" s="78">
        <v>340</v>
      </c>
      <c r="F114" s="78">
        <v>170.04651162790699</v>
      </c>
      <c r="G114" s="79">
        <v>173177.12015668923</v>
      </c>
      <c r="H114" s="79">
        <v>109114.27619794433</v>
      </c>
      <c r="I114" s="79">
        <v>126355.69814102032</v>
      </c>
      <c r="J114" s="79">
        <v>109114.27619794433</v>
      </c>
      <c r="K114" s="79">
        <v>0</v>
      </c>
      <c r="L114" s="79">
        <v>81577.320156689224</v>
      </c>
      <c r="M114" s="79">
        <v>59319.676384927567</v>
      </c>
      <c r="N114" s="79">
        <v>0</v>
      </c>
      <c r="O114" s="79">
        <v>0</v>
      </c>
      <c r="P114" s="79">
        <v>0</v>
      </c>
      <c r="Q114" s="79"/>
      <c r="R114" s="79">
        <v>69375.836746740591</v>
      </c>
      <c r="S114" s="79">
        <v>54629.386746740587</v>
      </c>
      <c r="T114" s="79">
        <v>97917.473493481171</v>
      </c>
      <c r="U114" s="79">
        <v>109114.27619794433</v>
      </c>
      <c r="V114" s="79">
        <v>109114.27619794433</v>
      </c>
      <c r="W114" s="79">
        <v>109114.27619794433</v>
      </c>
      <c r="X114" s="79">
        <v>109114.27619794433</v>
      </c>
      <c r="Y114" s="79">
        <v>0</v>
      </c>
      <c r="Z114" s="79"/>
      <c r="AA114" s="79">
        <v>327342.82859383302</v>
      </c>
      <c r="AB114" s="79">
        <v>103207.87915478271</v>
      </c>
      <c r="AC114" s="79">
        <v>0</v>
      </c>
      <c r="AD114" s="79">
        <v>0</v>
      </c>
      <c r="AE114" s="79">
        <v>218228.55239588866</v>
      </c>
      <c r="AF114" s="79">
        <v>68805.252769855142</v>
      </c>
      <c r="AG114" s="79">
        <v>218228.55239588866</v>
      </c>
      <c r="AH114" s="79">
        <v>68805.252769855142</v>
      </c>
      <c r="AI114" s="79">
        <v>218228.55239588866</v>
      </c>
      <c r="AJ114" s="79">
        <v>218228.55239588866</v>
      </c>
      <c r="AK114" s="79">
        <v>218228.55239588866</v>
      </c>
      <c r="AL114" s="79">
        <v>218228.55239588866</v>
      </c>
      <c r="AM114" s="79">
        <v>218228.55239588866</v>
      </c>
      <c r="AN114" s="79">
        <v>0</v>
      </c>
      <c r="AO114" s="79">
        <v>0</v>
      </c>
      <c r="AP114" s="79">
        <v>163671.41429691651</v>
      </c>
      <c r="AQ114" s="79">
        <v>0</v>
      </c>
      <c r="AR114" s="79">
        <v>0</v>
      </c>
      <c r="AS114" s="79">
        <v>0</v>
      </c>
      <c r="AT114" s="79">
        <v>0</v>
      </c>
      <c r="AU114" s="79">
        <v>0</v>
      </c>
      <c r="AV114" s="79"/>
      <c r="AW114" s="79">
        <v>0</v>
      </c>
      <c r="AX114" s="79">
        <v>54557.138098972166</v>
      </c>
      <c r="AY114" s="79">
        <v>109114.27619794433</v>
      </c>
      <c r="AZ114" s="79">
        <v>654685.65718766605</v>
      </c>
      <c r="BA114" s="79">
        <v>103207.87915478271</v>
      </c>
      <c r="BB114" s="79">
        <v>0</v>
      </c>
      <c r="BC114" s="79">
        <v>0</v>
      </c>
      <c r="BD114" s="79">
        <v>327342.82859383302</v>
      </c>
      <c r="BE114" s="79">
        <v>0</v>
      </c>
      <c r="BF114" s="79">
        <v>0</v>
      </c>
      <c r="BG114" s="79">
        <f>35916-BL114</f>
        <v>12721.8</v>
      </c>
      <c r="BH114" s="79">
        <v>33672</v>
      </c>
      <c r="BI114" s="79">
        <v>6734</v>
      </c>
      <c r="BJ114" s="79"/>
      <c r="BK114" s="79">
        <v>0</v>
      </c>
      <c r="BL114" s="79">
        <v>23194.2</v>
      </c>
      <c r="BM114" s="79">
        <v>156878.41</v>
      </c>
      <c r="BN114" s="79">
        <v>2496.34</v>
      </c>
      <c r="BO114" s="79">
        <v>0</v>
      </c>
      <c r="BP114" s="79">
        <v>0</v>
      </c>
      <c r="BQ114" s="79">
        <v>109114.27619794433</v>
      </c>
      <c r="BR114" s="79">
        <v>0</v>
      </c>
      <c r="BS114" s="79">
        <v>0</v>
      </c>
      <c r="BT114" s="79">
        <v>0</v>
      </c>
      <c r="BU114" s="79">
        <v>0</v>
      </c>
      <c r="BV114" s="80">
        <v>0</v>
      </c>
      <c r="BW114" s="80">
        <v>0</v>
      </c>
      <c r="BX114" s="80">
        <v>0</v>
      </c>
      <c r="BY114" s="80">
        <v>0</v>
      </c>
      <c r="BZ114" s="80">
        <v>0</v>
      </c>
      <c r="CA114" s="80">
        <v>0</v>
      </c>
      <c r="CB114" s="80">
        <v>0</v>
      </c>
      <c r="CC114" s="80">
        <v>0</v>
      </c>
      <c r="CD114" s="79">
        <v>0</v>
      </c>
      <c r="CE114" s="79">
        <v>0</v>
      </c>
      <c r="CF114" s="79">
        <v>0</v>
      </c>
      <c r="CG114" s="79">
        <v>0</v>
      </c>
      <c r="CH114" s="79">
        <v>0</v>
      </c>
      <c r="CI114" s="79">
        <v>218228.55239588866</v>
      </c>
      <c r="CJ114" s="79">
        <v>0</v>
      </c>
      <c r="CK114" s="79">
        <v>23000</v>
      </c>
      <c r="CL114" s="79">
        <v>5000</v>
      </c>
      <c r="CM114" s="79">
        <v>108165.6</v>
      </c>
      <c r="CN114" s="79">
        <v>100000</v>
      </c>
      <c r="CO114" s="79">
        <v>0</v>
      </c>
      <c r="CP114" s="79">
        <v>0</v>
      </c>
      <c r="CQ114" s="79">
        <v>3400.9302325581398</v>
      </c>
      <c r="CR114" s="79">
        <v>0</v>
      </c>
      <c r="CS114" s="79">
        <v>22129.496402877696</v>
      </c>
      <c r="CT114" s="79"/>
      <c r="CU114" s="79">
        <v>0</v>
      </c>
      <c r="CV114" s="79"/>
      <c r="CW114" s="79">
        <v>0</v>
      </c>
      <c r="CX114" s="79">
        <v>0</v>
      </c>
      <c r="CY114" s="79">
        <v>0</v>
      </c>
      <c r="CZ114" s="79">
        <v>0</v>
      </c>
      <c r="DA114" s="79">
        <v>34000</v>
      </c>
      <c r="DB114" s="79">
        <v>84568.812466278934</v>
      </c>
      <c r="DC114" s="82">
        <v>0</v>
      </c>
      <c r="DD114" s="79">
        <v>0</v>
      </c>
      <c r="DE114" s="79"/>
      <c r="DF114" s="79">
        <v>16750</v>
      </c>
      <c r="DG114" s="79">
        <v>0</v>
      </c>
      <c r="DH114" s="83">
        <v>0</v>
      </c>
      <c r="DI114" s="79">
        <v>17015.979000879895</v>
      </c>
      <c r="DJ114" s="79">
        <v>5785432.8602991644</v>
      </c>
      <c r="DK114" s="84">
        <v>-2.9916409403085709E-4</v>
      </c>
      <c r="DL114" s="84">
        <v>0</v>
      </c>
      <c r="DM114" s="84">
        <f t="shared" si="54"/>
        <v>5785432.8600000003</v>
      </c>
      <c r="DN114" s="84">
        <f>'[7]FY20 Initial Budget Alloca FTE'!F114*DN$1</f>
        <v>373398.33302325587</v>
      </c>
      <c r="DO114" s="81">
        <f t="shared" si="40"/>
        <v>53127.8</v>
      </c>
      <c r="DP114" s="81">
        <f t="shared" si="55"/>
        <v>20150.930232558141</v>
      </c>
      <c r="DQ114" s="74">
        <f t="shared" si="56"/>
        <v>300119.60279069771</v>
      </c>
      <c r="DR114" s="85">
        <f t="shared" si="70"/>
        <v>0.8037518549179109</v>
      </c>
      <c r="DS114" s="81">
        <f t="shared" si="57"/>
        <v>3872392.1980427103</v>
      </c>
      <c r="DT114" s="81">
        <f t="shared" si="67"/>
        <v>921564.95063936524</v>
      </c>
      <c r="DU114" s="81">
        <f t="shared" si="42"/>
        <v>327342.82859383302</v>
      </c>
      <c r="DV114" s="81">
        <f t="shared" si="69"/>
        <v>182568.95</v>
      </c>
      <c r="DW114" s="81">
        <f t="shared" si="43"/>
        <v>0</v>
      </c>
      <c r="DX114" s="81">
        <f t="shared" si="44"/>
        <v>0</v>
      </c>
      <c r="DY114" s="81">
        <f t="shared" si="45"/>
        <v>0</v>
      </c>
      <c r="DZ114" s="81">
        <f t="shared" si="46"/>
        <v>108165.6</v>
      </c>
      <c r="EA114" s="74">
        <f t="shared" si="47"/>
        <v>300119.60279069771</v>
      </c>
      <c r="EB114" s="81">
        <f t="shared" si="68"/>
        <v>53127.8</v>
      </c>
      <c r="EC114" s="81">
        <f t="shared" si="68"/>
        <v>20150.930232558141</v>
      </c>
      <c r="ED114" s="86">
        <f t="shared" si="58"/>
        <v>0.8037518549179109</v>
      </c>
      <c r="EE114" s="81">
        <f t="shared" si="59"/>
        <v>373398.33302325587</v>
      </c>
      <c r="EF114" s="81">
        <f t="shared" si="60"/>
        <v>5785432.8602991644</v>
      </c>
      <c r="EG114" s="81">
        <f t="shared" si="49"/>
        <v>0</v>
      </c>
      <c r="EH114" s="81">
        <v>4996873.2580730785</v>
      </c>
      <c r="EI114" s="84">
        <f t="shared" si="63"/>
        <v>5677267.2602991648</v>
      </c>
      <c r="EJ114" s="74">
        <f t="shared" si="50"/>
        <v>788559.60222608596</v>
      </c>
      <c r="EK114" s="74">
        <f t="shared" si="51"/>
        <v>680394.00222608633</v>
      </c>
      <c r="EM114" s="88">
        <f t="shared" si="52"/>
        <v>340</v>
      </c>
      <c r="EN114" s="74">
        <v>335</v>
      </c>
      <c r="EO114" s="74">
        <f t="shared" si="53"/>
        <v>5</v>
      </c>
      <c r="EP114" s="72">
        <v>336</v>
      </c>
      <c r="EQ114" s="74">
        <f t="shared" si="61"/>
        <v>1</v>
      </c>
      <c r="ER114" s="72">
        <v>307</v>
      </c>
      <c r="ES114" s="74">
        <f t="shared" si="62"/>
        <v>33</v>
      </c>
      <c r="ET114" s="74"/>
      <c r="EU114" s="74"/>
      <c r="EV114" s="74"/>
      <c r="EW114" s="89"/>
      <c r="EX114" s="81">
        <f t="shared" si="71"/>
        <v>5205849.0711974502</v>
      </c>
      <c r="EY114" s="81">
        <f t="shared" si="72"/>
        <v>579583.78910171485</v>
      </c>
    </row>
    <row r="115" spans="1:155" x14ac:dyDescent="0.25">
      <c r="A115" s="76">
        <v>335</v>
      </c>
      <c r="B115" s="76" t="s">
        <v>255</v>
      </c>
      <c r="C115" s="77" t="s">
        <v>150</v>
      </c>
      <c r="D115" s="41">
        <v>5</v>
      </c>
      <c r="E115" s="78">
        <v>329</v>
      </c>
      <c r="F115" s="78">
        <v>267</v>
      </c>
      <c r="G115" s="79">
        <v>173177.12015668923</v>
      </c>
      <c r="H115" s="79">
        <v>109114.27619794433</v>
      </c>
      <c r="I115" s="79">
        <v>42118.566047006767</v>
      </c>
      <c r="J115" s="79">
        <v>109114.27619794433</v>
      </c>
      <c r="K115" s="79">
        <v>0</v>
      </c>
      <c r="L115" s="79">
        <v>81577.320156689224</v>
      </c>
      <c r="M115" s="79">
        <v>59319.676384927567</v>
      </c>
      <c r="N115" s="79">
        <v>0</v>
      </c>
      <c r="O115" s="79">
        <v>0</v>
      </c>
      <c r="P115" s="79">
        <v>0</v>
      </c>
      <c r="Q115" s="79"/>
      <c r="R115" s="79">
        <v>69375.836746740591</v>
      </c>
      <c r="S115" s="79">
        <v>54629.386746740587</v>
      </c>
      <c r="T115" s="79">
        <v>97917.473493481171</v>
      </c>
      <c r="U115" s="79">
        <v>109114.27619794433</v>
      </c>
      <c r="V115" s="79">
        <v>109114.27619794433</v>
      </c>
      <c r="W115" s="79">
        <v>109114.27619794433</v>
      </c>
      <c r="X115" s="79">
        <v>109114.27619794433</v>
      </c>
      <c r="Y115" s="79">
        <f>109114.276197944-Z115</f>
        <v>-3.3469405025243759E-10</v>
      </c>
      <c r="Z115" s="79">
        <v>109114.27619794433</v>
      </c>
      <c r="AA115" s="79">
        <v>109114.27619794433</v>
      </c>
      <c r="AB115" s="79">
        <v>34402.626384927571</v>
      </c>
      <c r="AC115" s="79">
        <v>327342.82859383302</v>
      </c>
      <c r="AD115" s="79">
        <v>103207.87915478271</v>
      </c>
      <c r="AE115" s="79">
        <v>109114.27619794433</v>
      </c>
      <c r="AF115" s="79">
        <v>34402.626384927571</v>
      </c>
      <c r="AG115" s="79">
        <v>218228.55239588866</v>
      </c>
      <c r="AH115" s="79">
        <v>68805.252769855142</v>
      </c>
      <c r="AI115" s="79">
        <v>218228.55239588866</v>
      </c>
      <c r="AJ115" s="79">
        <v>109114.27619794433</v>
      </c>
      <c r="AK115" s="79">
        <v>109114.27619794433</v>
      </c>
      <c r="AL115" s="79">
        <v>218228.55239588866</v>
      </c>
      <c r="AM115" s="79">
        <v>109114.27619794433</v>
      </c>
      <c r="AN115" s="79">
        <v>152759.98667712204</v>
      </c>
      <c r="AO115" s="79">
        <v>130937.13143753319</v>
      </c>
      <c r="AP115" s="79">
        <v>98202.848578149904</v>
      </c>
      <c r="AQ115" s="79">
        <v>0</v>
      </c>
      <c r="AR115" s="79">
        <v>0</v>
      </c>
      <c r="AS115" s="79">
        <v>0</v>
      </c>
      <c r="AT115" s="79">
        <v>0</v>
      </c>
      <c r="AU115" s="79">
        <v>0</v>
      </c>
      <c r="AV115" s="79"/>
      <c r="AW115" s="79">
        <v>0</v>
      </c>
      <c r="AX115" s="79">
        <v>109114.27619794433</v>
      </c>
      <c r="AY115" s="79">
        <v>327342.82859383302</v>
      </c>
      <c r="AZ115" s="79">
        <v>763799.93338561035</v>
      </c>
      <c r="BA115" s="79">
        <v>68805.252769855142</v>
      </c>
      <c r="BB115" s="79">
        <v>0</v>
      </c>
      <c r="BC115" s="79">
        <v>0</v>
      </c>
      <c r="BD115" s="79">
        <v>218228.55239588866</v>
      </c>
      <c r="BE115" s="79">
        <v>0</v>
      </c>
      <c r="BF115" s="79">
        <v>0</v>
      </c>
      <c r="BG115" s="79">
        <f>23944-BL115</f>
        <v>12346.9</v>
      </c>
      <c r="BH115" s="79">
        <v>22448</v>
      </c>
      <c r="BI115" s="79">
        <v>6734</v>
      </c>
      <c r="BJ115" s="79"/>
      <c r="BK115" s="79">
        <v>0</v>
      </c>
      <c r="BL115" s="79">
        <v>11597.1</v>
      </c>
      <c r="BM115" s="79">
        <v>154026.07999999999</v>
      </c>
      <c r="BN115" s="79">
        <v>2450.9499999999998</v>
      </c>
      <c r="BO115" s="79">
        <v>0</v>
      </c>
      <c r="BP115" s="79">
        <v>0</v>
      </c>
      <c r="BQ115" s="79">
        <v>0</v>
      </c>
      <c r="BR115" s="79">
        <v>0</v>
      </c>
      <c r="BS115" s="79">
        <v>0</v>
      </c>
      <c r="BT115" s="79">
        <v>0</v>
      </c>
      <c r="BU115" s="79">
        <v>0</v>
      </c>
      <c r="BV115" s="80">
        <v>0</v>
      </c>
      <c r="BW115" s="80">
        <v>0</v>
      </c>
      <c r="BX115" s="80">
        <v>0</v>
      </c>
      <c r="BY115" s="80">
        <v>0</v>
      </c>
      <c r="BZ115" s="80">
        <v>0</v>
      </c>
      <c r="CA115" s="80">
        <v>0</v>
      </c>
      <c r="CB115" s="80">
        <v>0</v>
      </c>
      <c r="CC115" s="80">
        <v>0</v>
      </c>
      <c r="CD115" s="79">
        <v>0</v>
      </c>
      <c r="CE115" s="79">
        <v>0</v>
      </c>
      <c r="CF115" s="79">
        <v>0</v>
      </c>
      <c r="CG115" s="79">
        <v>0</v>
      </c>
      <c r="CH115" s="79">
        <v>0</v>
      </c>
      <c r="CI115" s="79">
        <v>218228.55239588866</v>
      </c>
      <c r="CJ115" s="79">
        <v>0</v>
      </c>
      <c r="CK115" s="79">
        <v>23000</v>
      </c>
      <c r="CL115" s="79">
        <v>5000</v>
      </c>
      <c r="CM115" s="79">
        <v>236038.47999999998</v>
      </c>
      <c r="CN115" s="79">
        <v>100000</v>
      </c>
      <c r="CO115" s="79">
        <v>0</v>
      </c>
      <c r="CP115" s="79">
        <v>0</v>
      </c>
      <c r="CQ115" s="79">
        <v>10680</v>
      </c>
      <c r="CR115" s="79">
        <v>72000</v>
      </c>
      <c r="CS115" s="79">
        <v>20437.580000000002</v>
      </c>
      <c r="CT115" s="79"/>
      <c r="CU115" s="79">
        <v>0</v>
      </c>
      <c r="CV115" s="79"/>
      <c r="CW115" s="79">
        <v>0</v>
      </c>
      <c r="CX115" s="79">
        <v>0</v>
      </c>
      <c r="CY115" s="79">
        <v>0</v>
      </c>
      <c r="CZ115" s="79">
        <v>0</v>
      </c>
      <c r="DA115" s="79">
        <v>32900</v>
      </c>
      <c r="DB115" s="79">
        <v>86453.022124948315</v>
      </c>
      <c r="DC115" s="82">
        <v>0</v>
      </c>
      <c r="DD115" s="79">
        <v>0</v>
      </c>
      <c r="DE115" s="79"/>
      <c r="DF115" s="79">
        <v>23100</v>
      </c>
      <c r="DG115" s="79">
        <v>0</v>
      </c>
      <c r="DH115" s="83">
        <v>0</v>
      </c>
      <c r="DI115" s="79">
        <v>18288.647535381067</v>
      </c>
      <c r="DJ115" s="79">
        <v>6016965.0391403716</v>
      </c>
      <c r="DK115" s="84">
        <v>8.5962843149900436E-4</v>
      </c>
      <c r="DL115" s="84">
        <v>0</v>
      </c>
      <c r="DM115" s="84">
        <f t="shared" si="54"/>
        <v>6016965.04</v>
      </c>
      <c r="DN115" s="84">
        <f>'[7]FY20 Initial Budget Alloca FTE'!F115*DN$1</f>
        <v>586294.62</v>
      </c>
      <c r="DO115" s="81">
        <f t="shared" si="40"/>
        <v>41528.9</v>
      </c>
      <c r="DP115" s="81">
        <f t="shared" si="55"/>
        <v>214894.27619794433</v>
      </c>
      <c r="DQ115" s="74">
        <f t="shared" si="56"/>
        <v>329871.44380205567</v>
      </c>
      <c r="DR115" s="85">
        <f t="shared" si="70"/>
        <v>0.5626376783093382</v>
      </c>
      <c r="DS115" s="81">
        <f t="shared" si="57"/>
        <v>3539266.9657972408</v>
      </c>
      <c r="DT115" s="81">
        <f t="shared" si="67"/>
        <v>1269062.2909472429</v>
      </c>
      <c r="DU115" s="81">
        <f t="shared" si="42"/>
        <v>218228.55239588866</v>
      </c>
      <c r="DV115" s="81">
        <f t="shared" si="69"/>
        <v>168074.13</v>
      </c>
      <c r="DW115" s="81">
        <f t="shared" si="43"/>
        <v>0</v>
      </c>
      <c r="DX115" s="81">
        <f t="shared" si="44"/>
        <v>0</v>
      </c>
      <c r="DY115" s="81">
        <f t="shared" si="45"/>
        <v>0</v>
      </c>
      <c r="DZ115" s="81">
        <f t="shared" si="46"/>
        <v>236038.47999999998</v>
      </c>
      <c r="EA115" s="74">
        <f t="shared" si="47"/>
        <v>329871.44380205567</v>
      </c>
      <c r="EB115" s="81">
        <f t="shared" si="68"/>
        <v>41528.9</v>
      </c>
      <c r="EC115" s="81">
        <f t="shared" si="68"/>
        <v>214894.27619794433</v>
      </c>
      <c r="ED115" s="86">
        <f t="shared" si="58"/>
        <v>0.5626376783093382</v>
      </c>
      <c r="EE115" s="81">
        <f t="shared" si="59"/>
        <v>586294.62</v>
      </c>
      <c r="EF115" s="81">
        <f t="shared" si="60"/>
        <v>6016965.0391403735</v>
      </c>
      <c r="EG115" s="81">
        <f t="shared" si="49"/>
        <v>0</v>
      </c>
      <c r="EH115" s="81">
        <v>5055729.5568227358</v>
      </c>
      <c r="EI115" s="84">
        <f t="shared" si="63"/>
        <v>5780926.5591403712</v>
      </c>
      <c r="EJ115" s="74">
        <f t="shared" si="50"/>
        <v>961235.48231763579</v>
      </c>
      <c r="EK115" s="74">
        <f t="shared" si="51"/>
        <v>725197.00231763534</v>
      </c>
      <c r="EM115" s="88">
        <f t="shared" si="52"/>
        <v>329</v>
      </c>
      <c r="EN115" s="74">
        <v>323</v>
      </c>
      <c r="EO115" s="74">
        <f t="shared" si="53"/>
        <v>6</v>
      </c>
      <c r="EP115" s="72">
        <v>312</v>
      </c>
      <c r="EQ115" s="74">
        <f t="shared" si="61"/>
        <v>-11</v>
      </c>
      <c r="ER115" s="72">
        <v>292</v>
      </c>
      <c r="ES115" s="74">
        <f t="shared" si="62"/>
        <v>37</v>
      </c>
      <c r="ET115" s="74"/>
      <c r="EU115" s="74"/>
      <c r="EV115" s="74"/>
      <c r="EW115" s="89"/>
      <c r="EX115" s="81">
        <f t="shared" si="71"/>
        <v>5239281.8270154241</v>
      </c>
      <c r="EY115" s="81">
        <f t="shared" si="72"/>
        <v>777683.21212494827</v>
      </c>
    </row>
    <row r="116" spans="1:155" x14ac:dyDescent="0.25">
      <c r="A116" s="76">
        <v>338</v>
      </c>
      <c r="B116" s="76" t="s">
        <v>256</v>
      </c>
      <c r="C116" s="77" t="s">
        <v>150</v>
      </c>
      <c r="D116" s="41">
        <v>4</v>
      </c>
      <c r="E116" s="78">
        <v>341</v>
      </c>
      <c r="F116" s="78">
        <v>226.21321321321321</v>
      </c>
      <c r="G116" s="79">
        <v>173177.12015668923</v>
      </c>
      <c r="H116" s="79">
        <v>109114.27619794433</v>
      </c>
      <c r="I116" s="79">
        <v>28079.044031337849</v>
      </c>
      <c r="J116" s="79">
        <v>109114.27619794433</v>
      </c>
      <c r="K116" s="79">
        <v>0</v>
      </c>
      <c r="L116" s="79">
        <v>81577.320156689224</v>
      </c>
      <c r="M116" s="79">
        <v>59319.676384927567</v>
      </c>
      <c r="N116" s="79">
        <v>0</v>
      </c>
      <c r="O116" s="79">
        <v>0</v>
      </c>
      <c r="P116" s="79">
        <v>0</v>
      </c>
      <c r="Q116" s="79"/>
      <c r="R116" s="79">
        <v>69375.836746740591</v>
      </c>
      <c r="S116" s="79">
        <v>54629.386746740587</v>
      </c>
      <c r="T116" s="79">
        <v>97917.473493481171</v>
      </c>
      <c r="U116" s="79">
        <v>109114.27619794433</v>
      </c>
      <c r="V116" s="79">
        <v>109114.27619794433</v>
      </c>
      <c r="W116" s="79">
        <v>109114.27619794433</v>
      </c>
      <c r="X116" s="79">
        <v>109114.27619794433</v>
      </c>
      <c r="Y116" s="79">
        <v>0</v>
      </c>
      <c r="Z116" s="79"/>
      <c r="AA116" s="79">
        <v>109114.27619794433</v>
      </c>
      <c r="AB116" s="79">
        <v>34402.626384927571</v>
      </c>
      <c r="AC116" s="79">
        <v>218228.55239588866</v>
      </c>
      <c r="AD116" s="79">
        <v>68805.252769855142</v>
      </c>
      <c r="AE116" s="79">
        <v>109114.27619794433</v>
      </c>
      <c r="AF116" s="79">
        <v>34402.626384927571</v>
      </c>
      <c r="AG116" s="79">
        <v>218228.55239588866</v>
      </c>
      <c r="AH116" s="79">
        <v>68805.252769855142</v>
      </c>
      <c r="AI116" s="79">
        <v>218228.55239588866</v>
      </c>
      <c r="AJ116" s="79">
        <v>218228.55239588866</v>
      </c>
      <c r="AK116" s="79">
        <v>109114.27619794433</v>
      </c>
      <c r="AL116" s="79">
        <v>218228.55239588866</v>
      </c>
      <c r="AM116" s="79">
        <v>109114.27619794433</v>
      </c>
      <c r="AN116" s="79">
        <v>0</v>
      </c>
      <c r="AO116" s="79">
        <v>207317.12477609422</v>
      </c>
      <c r="AP116" s="79">
        <v>130937.13143753319</v>
      </c>
      <c r="AQ116" s="79">
        <v>0</v>
      </c>
      <c r="AR116" s="79">
        <v>0</v>
      </c>
      <c r="AS116" s="79">
        <v>0</v>
      </c>
      <c r="AT116" s="79">
        <v>0</v>
      </c>
      <c r="AU116" s="79">
        <v>0</v>
      </c>
      <c r="AV116" s="79"/>
      <c r="AW116" s="79">
        <v>0</v>
      </c>
      <c r="AX116" s="79">
        <v>109114.27619794433</v>
      </c>
      <c r="AY116" s="79">
        <v>109114.27619794433</v>
      </c>
      <c r="AZ116" s="79">
        <v>1091142.7619794433</v>
      </c>
      <c r="BA116" s="79">
        <v>309623.63746434811</v>
      </c>
      <c r="BB116" s="79">
        <v>0</v>
      </c>
      <c r="BC116" s="79">
        <v>105202</v>
      </c>
      <c r="BD116" s="79">
        <v>327342.82859383302</v>
      </c>
      <c r="BE116" s="79">
        <v>0</v>
      </c>
      <c r="BF116" s="79">
        <v>0</v>
      </c>
      <c r="BG116" s="79">
        <f>35916-BL116</f>
        <v>12721.8</v>
      </c>
      <c r="BH116" s="79">
        <v>33672</v>
      </c>
      <c r="BI116" s="79">
        <v>6734</v>
      </c>
      <c r="BJ116" s="79"/>
      <c r="BK116" s="79">
        <v>0</v>
      </c>
      <c r="BL116" s="79">
        <v>23194.2</v>
      </c>
      <c r="BM116" s="79">
        <v>107480.71</v>
      </c>
      <c r="BN116" s="79">
        <v>1710.3</v>
      </c>
      <c r="BO116" s="79">
        <v>0</v>
      </c>
      <c r="BP116" s="79">
        <v>0</v>
      </c>
      <c r="BQ116" s="79">
        <v>0</v>
      </c>
      <c r="BR116" s="79">
        <v>0</v>
      </c>
      <c r="BS116" s="79">
        <v>0</v>
      </c>
      <c r="BT116" s="79">
        <v>0</v>
      </c>
      <c r="BU116" s="79">
        <v>0</v>
      </c>
      <c r="BV116" s="80">
        <v>0</v>
      </c>
      <c r="BW116" s="80">
        <v>0</v>
      </c>
      <c r="BX116" s="80">
        <v>0</v>
      </c>
      <c r="BY116" s="80">
        <v>0</v>
      </c>
      <c r="BZ116" s="80">
        <v>0</v>
      </c>
      <c r="CA116" s="80">
        <v>0</v>
      </c>
      <c r="CB116" s="80">
        <v>0</v>
      </c>
      <c r="CC116" s="80">
        <v>0</v>
      </c>
      <c r="CD116" s="79">
        <v>0</v>
      </c>
      <c r="CE116" s="79">
        <v>0</v>
      </c>
      <c r="CF116" s="79">
        <v>0</v>
      </c>
      <c r="CG116" s="79">
        <v>0</v>
      </c>
      <c r="CH116" s="79">
        <v>0</v>
      </c>
      <c r="CI116" s="79">
        <v>218228.55239588866</v>
      </c>
      <c r="CJ116" s="79">
        <v>0</v>
      </c>
      <c r="CK116" s="79">
        <v>23000</v>
      </c>
      <c r="CL116" s="79">
        <v>5000</v>
      </c>
      <c r="CM116" s="79">
        <v>54082.8</v>
      </c>
      <c r="CN116" s="79">
        <v>100000</v>
      </c>
      <c r="CO116" s="79">
        <v>0</v>
      </c>
      <c r="CP116" s="79">
        <v>0</v>
      </c>
      <c r="CQ116" s="79">
        <v>4524.2642642642641</v>
      </c>
      <c r="CR116" s="79">
        <v>212400</v>
      </c>
      <c r="CS116" s="79">
        <v>20077.61153846154</v>
      </c>
      <c r="CT116" s="79"/>
      <c r="CU116" s="79">
        <v>0</v>
      </c>
      <c r="CV116" s="79"/>
      <c r="CW116" s="79">
        <v>0</v>
      </c>
      <c r="CX116" s="79">
        <v>0</v>
      </c>
      <c r="CY116" s="79">
        <v>0</v>
      </c>
      <c r="CZ116" s="79">
        <v>0</v>
      </c>
      <c r="DA116" s="79">
        <v>34100</v>
      </c>
      <c r="DB116" s="79">
        <v>94558.515637352204</v>
      </c>
      <c r="DC116" s="82">
        <v>0</v>
      </c>
      <c r="DD116" s="79">
        <v>0</v>
      </c>
      <c r="DE116" s="79"/>
      <c r="DF116" s="79">
        <v>16500</v>
      </c>
      <c r="DG116" s="79">
        <v>0</v>
      </c>
      <c r="DH116" s="83">
        <v>0</v>
      </c>
      <c r="DI116" s="79">
        <v>18506.029121607524</v>
      </c>
      <c r="DJ116" s="79">
        <v>6310555.9304681644</v>
      </c>
      <c r="DK116" s="84">
        <v>-4.6816468238830566E-4</v>
      </c>
      <c r="DL116" s="84">
        <v>0</v>
      </c>
      <c r="DM116" s="84">
        <f t="shared" si="54"/>
        <v>6310555.9299999997</v>
      </c>
      <c r="DN116" s="84">
        <f>'[7]FY20 Initial Budget Alloca FTE'!F116*DN$1</f>
        <v>496732.54636636638</v>
      </c>
      <c r="DO116" s="81">
        <f t="shared" si="40"/>
        <v>53127.8</v>
      </c>
      <c r="DP116" s="81">
        <f t="shared" si="55"/>
        <v>233424.26426426426</v>
      </c>
      <c r="DQ116" s="74">
        <f t="shared" si="56"/>
        <v>210180.48210210213</v>
      </c>
      <c r="DR116" s="85">
        <f t="shared" si="70"/>
        <v>0.42312605372767936</v>
      </c>
      <c r="DS116" s="81">
        <f t="shared" si="57"/>
        <v>3575815.5936682853</v>
      </c>
      <c r="DT116" s="81">
        <f t="shared" si="67"/>
        <v>1724196.9518396799</v>
      </c>
      <c r="DU116" s="81">
        <f t="shared" si="42"/>
        <v>327342.82859383302</v>
      </c>
      <c r="DV116" s="81">
        <f t="shared" si="69"/>
        <v>132385.21</v>
      </c>
      <c r="DW116" s="81">
        <f t="shared" si="43"/>
        <v>0</v>
      </c>
      <c r="DX116" s="81">
        <f t="shared" si="44"/>
        <v>0</v>
      </c>
      <c r="DY116" s="81">
        <f t="shared" si="45"/>
        <v>0</v>
      </c>
      <c r="DZ116" s="81">
        <f t="shared" si="46"/>
        <v>54082.8</v>
      </c>
      <c r="EA116" s="74">
        <f t="shared" si="47"/>
        <v>210180.48210210213</v>
      </c>
      <c r="EB116" s="81">
        <f t="shared" si="68"/>
        <v>53127.8</v>
      </c>
      <c r="EC116" s="81">
        <f t="shared" si="68"/>
        <v>233424.26426426426</v>
      </c>
      <c r="ED116" s="86">
        <f t="shared" si="58"/>
        <v>0.42312605372767936</v>
      </c>
      <c r="EE116" s="81">
        <f t="shared" si="59"/>
        <v>496732.54636636638</v>
      </c>
      <c r="EF116" s="81">
        <f t="shared" si="60"/>
        <v>6310555.9304681644</v>
      </c>
      <c r="EG116" s="81">
        <f t="shared" si="49"/>
        <v>0</v>
      </c>
      <c r="EH116" s="81">
        <v>6038044.600920219</v>
      </c>
      <c r="EI116" s="84">
        <f t="shared" si="63"/>
        <v>6256473.1304681646</v>
      </c>
      <c r="EJ116" s="74">
        <f t="shared" si="50"/>
        <v>272511.32954794541</v>
      </c>
      <c r="EK116" s="74">
        <f t="shared" si="51"/>
        <v>218428.5295479456</v>
      </c>
      <c r="EM116" s="88">
        <f t="shared" si="52"/>
        <v>341</v>
      </c>
      <c r="EN116" s="74">
        <v>333</v>
      </c>
      <c r="EO116" s="74">
        <f t="shared" si="53"/>
        <v>8</v>
      </c>
      <c r="EP116" s="72">
        <v>351</v>
      </c>
      <c r="EQ116" s="74">
        <f t="shared" si="61"/>
        <v>18</v>
      </c>
      <c r="ER116" s="72">
        <v>341</v>
      </c>
      <c r="ES116" s="74">
        <f t="shared" si="62"/>
        <v>0</v>
      </c>
      <c r="ET116" s="74"/>
      <c r="EU116" s="74"/>
      <c r="EV116" s="74"/>
      <c r="EW116" s="89"/>
      <c r="EX116" s="81">
        <f t="shared" si="71"/>
        <v>5613927.5290280869</v>
      </c>
      <c r="EY116" s="81">
        <f t="shared" si="72"/>
        <v>696628.40144007804</v>
      </c>
    </row>
    <row r="117" spans="1:155" x14ac:dyDescent="0.25">
      <c r="A117" s="76">
        <v>463</v>
      </c>
      <c r="B117" s="76" t="s">
        <v>257</v>
      </c>
      <c r="C117" s="77" t="s">
        <v>138</v>
      </c>
      <c r="D117" s="41">
        <v>3</v>
      </c>
      <c r="E117" s="78">
        <v>1864</v>
      </c>
      <c r="F117" s="78">
        <v>644.91690544412609</v>
      </c>
      <c r="G117" s="79">
        <v>173177.12015668923</v>
      </c>
      <c r="H117" s="79">
        <v>109114.27619794433</v>
      </c>
      <c r="I117" s="79">
        <v>870450.36497147323</v>
      </c>
      <c r="J117" s="79">
        <v>0</v>
      </c>
      <c r="K117" s="79">
        <v>891679.4445971942</v>
      </c>
      <c r="L117" s="79">
        <v>81577.320156689224</v>
      </c>
      <c r="M117" s="79">
        <v>59319.676384927567</v>
      </c>
      <c r="N117" s="79">
        <v>209786.03400915957</v>
      </c>
      <c r="O117" s="79">
        <v>50130.026384927565</v>
      </c>
      <c r="P117" s="79">
        <v>62573.586746740584</v>
      </c>
      <c r="Q117" s="79"/>
      <c r="R117" s="79">
        <v>69375.836746740591</v>
      </c>
      <c r="S117" s="79">
        <v>54629.386746740587</v>
      </c>
      <c r="T117" s="79">
        <v>538546.1042141465</v>
      </c>
      <c r="U117" s="79">
        <v>109114.27619794433</v>
      </c>
      <c r="V117" s="79">
        <v>0</v>
      </c>
      <c r="W117" s="79">
        <v>0</v>
      </c>
      <c r="X117" s="79">
        <v>0</v>
      </c>
      <c r="Y117" s="79">
        <v>0</v>
      </c>
      <c r="Z117" s="79"/>
      <c r="AA117" s="79">
        <v>0</v>
      </c>
      <c r="AB117" s="79">
        <v>0</v>
      </c>
      <c r="AC117" s="79">
        <v>0</v>
      </c>
      <c r="AD117" s="79">
        <v>0</v>
      </c>
      <c r="AE117" s="79">
        <v>0</v>
      </c>
      <c r="AF117" s="79">
        <v>0</v>
      </c>
      <c r="AG117" s="79">
        <v>0</v>
      </c>
      <c r="AH117" s="79">
        <v>0</v>
      </c>
      <c r="AI117" s="79">
        <v>0</v>
      </c>
      <c r="AJ117" s="79">
        <v>0</v>
      </c>
      <c r="AK117" s="79">
        <v>0</v>
      </c>
      <c r="AL117" s="79">
        <v>0</v>
      </c>
      <c r="AM117" s="79">
        <v>0</v>
      </c>
      <c r="AN117" s="79">
        <v>0</v>
      </c>
      <c r="AO117" s="79">
        <v>0</v>
      </c>
      <c r="AP117" s="79">
        <v>0</v>
      </c>
      <c r="AQ117" s="79">
        <v>0</v>
      </c>
      <c r="AR117" s="79">
        <v>0</v>
      </c>
      <c r="AS117" s="79">
        <v>0</v>
      </c>
      <c r="AT117" s="79">
        <v>0</v>
      </c>
      <c r="AU117" s="79">
        <v>0</v>
      </c>
      <c r="AV117" s="79">
        <f>E117/24*AV$121</f>
        <v>8474542.1180403437</v>
      </c>
      <c r="AW117" s="79">
        <f>9711170.58161705-AV117</f>
        <v>1236628.4635767061</v>
      </c>
      <c r="AX117" s="79">
        <v>218228.55239588866</v>
      </c>
      <c r="AY117" s="79">
        <v>545571.38098972163</v>
      </c>
      <c r="AZ117" s="79">
        <v>2182285.5239588865</v>
      </c>
      <c r="BA117" s="79">
        <v>206415.75830956543</v>
      </c>
      <c r="BB117" s="79">
        <v>0</v>
      </c>
      <c r="BC117" s="79">
        <v>52601</v>
      </c>
      <c r="BD117" s="79">
        <v>763799.93338561035</v>
      </c>
      <c r="BE117" s="79">
        <v>0</v>
      </c>
      <c r="BF117" s="79">
        <v>109114.27619794433</v>
      </c>
      <c r="BG117" s="79">
        <v>0</v>
      </c>
      <c r="BH117" s="79">
        <v>0</v>
      </c>
      <c r="BI117" s="79">
        <v>0</v>
      </c>
      <c r="BJ117" s="79"/>
      <c r="BK117" s="79">
        <v>85000</v>
      </c>
      <c r="BL117" s="79"/>
      <c r="BM117" s="79">
        <v>0</v>
      </c>
      <c r="BN117" s="79">
        <v>0</v>
      </c>
      <c r="BO117" s="79">
        <v>45625</v>
      </c>
      <c r="BP117" s="79">
        <v>0</v>
      </c>
      <c r="BQ117" s="79">
        <v>0</v>
      </c>
      <c r="BR117" s="79">
        <v>0</v>
      </c>
      <c r="BS117" s="79">
        <v>0</v>
      </c>
      <c r="BT117" s="79">
        <v>0</v>
      </c>
      <c r="BU117" s="79">
        <v>0</v>
      </c>
      <c r="BV117" s="80">
        <v>0</v>
      </c>
      <c r="BW117" s="80">
        <v>0</v>
      </c>
      <c r="BX117" s="80">
        <v>0</v>
      </c>
      <c r="BY117" s="80">
        <v>0</v>
      </c>
      <c r="BZ117" s="80">
        <v>45000</v>
      </c>
      <c r="CA117" s="80">
        <v>0</v>
      </c>
      <c r="CB117" s="80">
        <v>0</v>
      </c>
      <c r="CC117" s="80">
        <v>0</v>
      </c>
      <c r="CD117" s="79">
        <v>218228.55239588866</v>
      </c>
      <c r="CE117" s="79">
        <v>0</v>
      </c>
      <c r="CF117" s="79">
        <v>128098.27015668922</v>
      </c>
      <c r="CG117" s="79">
        <v>105202</v>
      </c>
      <c r="CH117" s="79">
        <v>0</v>
      </c>
      <c r="CI117" s="79">
        <v>0</v>
      </c>
      <c r="CJ117" s="79">
        <v>0</v>
      </c>
      <c r="CK117" s="79">
        <v>0</v>
      </c>
      <c r="CL117" s="79">
        <v>0</v>
      </c>
      <c r="CM117" s="79">
        <v>657699.69999999995</v>
      </c>
      <c r="CN117" s="79">
        <v>0</v>
      </c>
      <c r="CO117" s="79">
        <v>105202</v>
      </c>
      <c r="CP117" s="79">
        <v>0</v>
      </c>
      <c r="CQ117" s="79">
        <v>12898.338108882523</v>
      </c>
      <c r="CR117" s="79">
        <v>0</v>
      </c>
      <c r="CS117" s="79">
        <v>242447.49119999999</v>
      </c>
      <c r="CT117" s="79"/>
      <c r="CU117" s="79">
        <v>105202</v>
      </c>
      <c r="CV117" s="79"/>
      <c r="CW117" s="79">
        <v>0</v>
      </c>
      <c r="CX117" s="79">
        <v>0</v>
      </c>
      <c r="CY117" s="79">
        <v>0</v>
      </c>
      <c r="CZ117" s="79">
        <v>0</v>
      </c>
      <c r="DA117" s="79">
        <v>186400</v>
      </c>
      <c r="DB117" s="79">
        <v>278192.93781189231</v>
      </c>
      <c r="DC117" s="82">
        <v>725000</v>
      </c>
      <c r="DD117" s="79">
        <v>0</v>
      </c>
      <c r="DE117" s="79"/>
      <c r="DF117" s="79">
        <v>37200</v>
      </c>
      <c r="DG117" s="79">
        <v>0</v>
      </c>
      <c r="DH117" s="83">
        <v>0</v>
      </c>
      <c r="DI117" s="79">
        <v>10754.322290793632</v>
      </c>
      <c r="DJ117" s="79">
        <v>20046056.750039328</v>
      </c>
      <c r="DK117" s="84">
        <v>-3.9327889680862427E-5</v>
      </c>
      <c r="DL117" s="84">
        <v>0</v>
      </c>
      <c r="DM117" s="84">
        <f t="shared" si="54"/>
        <v>20046056.75</v>
      </c>
      <c r="DN117" s="84">
        <f>'[7]FY20 Initial Budget Alloca FTE'!F117*DN$1</f>
        <v>1416147.2359885387</v>
      </c>
      <c r="DO117" s="81">
        <f t="shared" si="40"/>
        <v>85000</v>
      </c>
      <c r="DP117" s="81">
        <f t="shared" si="55"/>
        <v>1625229.0718422779</v>
      </c>
      <c r="DQ117" s="74">
        <f t="shared" si="56"/>
        <v>-294081.83585373918</v>
      </c>
      <c r="DR117" s="85">
        <f t="shared" si="70"/>
        <v>-0.20766331944888197</v>
      </c>
      <c r="DS117" s="81">
        <f t="shared" si="57"/>
        <v>13078568.388813181</v>
      </c>
      <c r="DT117" s="81">
        <f t="shared" si="67"/>
        <v>3205102.2156540621</v>
      </c>
      <c r="DU117" s="81">
        <f t="shared" si="42"/>
        <v>872914.20958355465</v>
      </c>
      <c r="DV117" s="81">
        <f t="shared" si="69"/>
        <v>90625</v>
      </c>
      <c r="DW117" s="81">
        <f t="shared" si="43"/>
        <v>0</v>
      </c>
      <c r="DX117" s="81">
        <f t="shared" si="44"/>
        <v>725000</v>
      </c>
      <c r="DY117" s="81">
        <f t="shared" si="45"/>
        <v>0</v>
      </c>
      <c r="DZ117" s="81">
        <f t="shared" si="46"/>
        <v>657699.69999999995</v>
      </c>
      <c r="EA117" s="74">
        <f t="shared" si="47"/>
        <v>-294081.83585373918</v>
      </c>
      <c r="EB117" s="81">
        <f t="shared" si="68"/>
        <v>85000</v>
      </c>
      <c r="EC117" s="81">
        <f t="shared" si="68"/>
        <v>1625229.0718422779</v>
      </c>
      <c r="ED117" s="86">
        <v>0</v>
      </c>
      <c r="EE117" s="81">
        <f t="shared" si="59"/>
        <v>1416147.2359885387</v>
      </c>
      <c r="EF117" s="81">
        <f t="shared" si="60"/>
        <v>20046056.750039335</v>
      </c>
      <c r="EG117" s="81">
        <f t="shared" si="49"/>
        <v>0</v>
      </c>
      <c r="EH117" s="81">
        <v>18687567</v>
      </c>
      <c r="EI117" s="84">
        <f t="shared" si="63"/>
        <v>19388357.050039329</v>
      </c>
      <c r="EJ117" s="74">
        <f t="shared" si="50"/>
        <v>1358489.7500393279</v>
      </c>
      <c r="EK117" s="74">
        <f t="shared" si="51"/>
        <v>700790.05003932863</v>
      </c>
      <c r="EM117" s="88">
        <f t="shared" si="52"/>
        <v>1864</v>
      </c>
      <c r="EN117" s="74">
        <v>1885</v>
      </c>
      <c r="EO117" s="74">
        <f t="shared" si="53"/>
        <v>-21</v>
      </c>
      <c r="EP117" s="90">
        <v>1796</v>
      </c>
      <c r="EQ117" s="74">
        <f t="shared" si="61"/>
        <v>-89</v>
      </c>
      <c r="ER117" s="72">
        <v>1906</v>
      </c>
      <c r="ES117" s="74">
        <f t="shared" si="62"/>
        <v>-42</v>
      </c>
      <c r="ET117" s="74"/>
      <c r="EU117" s="74"/>
      <c r="EV117" s="74"/>
      <c r="EW117" s="89"/>
      <c r="EX117" s="81">
        <f t="shared" si="71"/>
        <v>17730593.282918558</v>
      </c>
      <c r="EY117" s="81">
        <f t="shared" si="72"/>
        <v>2315463.467120775</v>
      </c>
    </row>
    <row r="118" spans="1:155" x14ac:dyDescent="0.25">
      <c r="A118" s="76">
        <v>464</v>
      </c>
      <c r="B118" s="76" t="s">
        <v>258</v>
      </c>
      <c r="C118" s="77" t="s">
        <v>138</v>
      </c>
      <c r="D118" s="41">
        <v>7</v>
      </c>
      <c r="E118" s="78">
        <v>400</v>
      </c>
      <c r="F118" s="78">
        <v>324.13201320132009</v>
      </c>
      <c r="G118" s="79">
        <v>173177.12015668923</v>
      </c>
      <c r="H118" s="79">
        <v>109114.27619794433</v>
      </c>
      <c r="I118" s="79">
        <v>182513.78620369601</v>
      </c>
      <c r="J118" s="79">
        <v>0</v>
      </c>
      <c r="K118" s="79">
        <v>237781.18522591845</v>
      </c>
      <c r="L118" s="79">
        <v>81577.320156689224</v>
      </c>
      <c r="M118" s="79">
        <v>59319.676384927567</v>
      </c>
      <c r="N118" s="79">
        <v>44635.326384927568</v>
      </c>
      <c r="O118" s="79">
        <v>50130.026384927565</v>
      </c>
      <c r="P118" s="79">
        <v>62573.586746740584</v>
      </c>
      <c r="Q118" s="79"/>
      <c r="R118" s="79">
        <v>69375.836746740591</v>
      </c>
      <c r="S118" s="79">
        <v>54629.386746740587</v>
      </c>
      <c r="T118" s="79">
        <v>195834.94698696234</v>
      </c>
      <c r="U118" s="79">
        <v>109114.27619794433</v>
      </c>
      <c r="V118" s="79">
        <v>0</v>
      </c>
      <c r="W118" s="79">
        <v>0</v>
      </c>
      <c r="X118" s="79">
        <v>0</v>
      </c>
      <c r="Y118" s="79">
        <v>0</v>
      </c>
      <c r="Z118" s="79"/>
      <c r="AA118" s="79">
        <v>0</v>
      </c>
      <c r="AB118" s="79">
        <v>0</v>
      </c>
      <c r="AC118" s="79">
        <v>0</v>
      </c>
      <c r="AD118" s="79">
        <v>0</v>
      </c>
      <c r="AE118" s="79">
        <v>0</v>
      </c>
      <c r="AF118" s="79">
        <v>0</v>
      </c>
      <c r="AG118" s="79">
        <v>0</v>
      </c>
      <c r="AH118" s="79">
        <v>0</v>
      </c>
      <c r="AI118" s="79">
        <v>0</v>
      </c>
      <c r="AJ118" s="79">
        <v>0</v>
      </c>
      <c r="AK118" s="79">
        <v>0</v>
      </c>
      <c r="AL118" s="79">
        <v>0</v>
      </c>
      <c r="AM118" s="79">
        <v>0</v>
      </c>
      <c r="AN118" s="79">
        <v>0</v>
      </c>
      <c r="AO118" s="79">
        <v>0</v>
      </c>
      <c r="AP118" s="79">
        <v>0</v>
      </c>
      <c r="AQ118" s="79">
        <v>0</v>
      </c>
      <c r="AR118" s="79">
        <v>0</v>
      </c>
      <c r="AS118" s="79">
        <v>0</v>
      </c>
      <c r="AT118" s="79">
        <v>0</v>
      </c>
      <c r="AU118" s="79">
        <v>0</v>
      </c>
      <c r="AV118" s="79">
        <f>E118/24*AV$121</f>
        <v>1818571.269965739</v>
      </c>
      <c r="AW118" s="79">
        <f>2934225.66974039-AV118</f>
        <v>1115654.399774651</v>
      </c>
      <c r="AX118" s="79">
        <v>109114.27619794433</v>
      </c>
      <c r="AY118" s="79">
        <v>436457.10479177732</v>
      </c>
      <c r="AZ118" s="79">
        <v>1200257.0381773876</v>
      </c>
      <c r="BA118" s="79">
        <v>172013.13192463786</v>
      </c>
      <c r="BB118" s="79">
        <v>96126.952769855139</v>
      </c>
      <c r="BC118" s="79">
        <v>0</v>
      </c>
      <c r="BD118" s="79">
        <v>24798.699135896437</v>
      </c>
      <c r="BE118" s="79">
        <v>0</v>
      </c>
      <c r="BF118" s="79">
        <v>0</v>
      </c>
      <c r="BG118" s="79">
        <v>0</v>
      </c>
      <c r="BH118" s="79">
        <v>0</v>
      </c>
      <c r="BI118" s="79">
        <v>0</v>
      </c>
      <c r="BJ118" s="79"/>
      <c r="BK118" s="79">
        <v>60000</v>
      </c>
      <c r="BL118" s="79"/>
      <c r="BM118" s="79">
        <v>230088.34</v>
      </c>
      <c r="BN118" s="79">
        <v>3661.3</v>
      </c>
      <c r="BO118" s="79">
        <v>0</v>
      </c>
      <c r="BP118" s="79">
        <v>0</v>
      </c>
      <c r="BQ118" s="79">
        <v>0</v>
      </c>
      <c r="BR118" s="79">
        <v>0</v>
      </c>
      <c r="BS118" s="79">
        <v>0</v>
      </c>
      <c r="BT118" s="79">
        <v>0</v>
      </c>
      <c r="BU118" s="79">
        <v>0</v>
      </c>
      <c r="BV118" s="80">
        <v>140395.22015668923</v>
      </c>
      <c r="BW118" s="80">
        <v>30000</v>
      </c>
      <c r="BX118" s="80">
        <v>19000</v>
      </c>
      <c r="BY118" s="80">
        <v>0</v>
      </c>
      <c r="BZ118" s="80">
        <v>90000</v>
      </c>
      <c r="CA118" s="80">
        <v>0</v>
      </c>
      <c r="CB118" s="80">
        <v>0</v>
      </c>
      <c r="CC118" s="80">
        <v>23700</v>
      </c>
      <c r="CD118" s="79">
        <v>218228.55239588866</v>
      </c>
      <c r="CE118" s="79">
        <v>0</v>
      </c>
      <c r="CF118" s="79">
        <v>256196.54031337844</v>
      </c>
      <c r="CG118" s="79">
        <v>210404</v>
      </c>
      <c r="CH118" s="79">
        <v>109114.27619794433</v>
      </c>
      <c r="CI118" s="79">
        <v>0</v>
      </c>
      <c r="CJ118" s="79">
        <v>0</v>
      </c>
      <c r="CK118" s="79">
        <v>0</v>
      </c>
      <c r="CL118" s="79">
        <v>0</v>
      </c>
      <c r="CM118" s="79">
        <v>590096.19999999995</v>
      </c>
      <c r="CN118" s="79">
        <v>0</v>
      </c>
      <c r="CO118" s="79">
        <v>105202</v>
      </c>
      <c r="CP118" s="79">
        <v>0</v>
      </c>
      <c r="CQ118" s="79">
        <v>12965.280528052805</v>
      </c>
      <c r="CR118" s="79">
        <v>0</v>
      </c>
      <c r="CS118" s="79">
        <v>52000.800000000003</v>
      </c>
      <c r="CT118" s="79"/>
      <c r="CU118" s="79">
        <v>105202</v>
      </c>
      <c r="CV118" s="79"/>
      <c r="CW118" s="79">
        <v>0</v>
      </c>
      <c r="CX118" s="79">
        <v>0</v>
      </c>
      <c r="CY118" s="79">
        <v>5000</v>
      </c>
      <c r="CZ118" s="91">
        <v>115407</v>
      </c>
      <c r="DA118" s="79">
        <v>40000</v>
      </c>
      <c r="DB118" s="79">
        <v>108228.83518125251</v>
      </c>
      <c r="DC118" s="82">
        <v>0</v>
      </c>
      <c r="DD118" s="79">
        <v>0</v>
      </c>
      <c r="DE118" s="79"/>
      <c r="DF118" s="79">
        <v>26400</v>
      </c>
      <c r="DG118" s="79">
        <v>287510.82571193139</v>
      </c>
      <c r="DH118" s="83">
        <v>182159.59952768311</v>
      </c>
      <c r="DI118" s="79">
        <v>23575.057792684027</v>
      </c>
      <c r="DJ118" s="79">
        <v>9423730.3932715561</v>
      </c>
      <c r="DK118" s="84">
        <v>234298.60672844388</v>
      </c>
      <c r="DL118" s="84">
        <v>128348.06</v>
      </c>
      <c r="DM118" s="84">
        <f t="shared" si="54"/>
        <v>9786377.0600000005</v>
      </c>
      <c r="DN118" s="84">
        <f>'[7]FY20 Initial Budget Alloca FTE'!F118*DN$1</f>
        <v>711748.52250825078</v>
      </c>
      <c r="DO118" s="81">
        <f t="shared" si="40"/>
        <v>60000</v>
      </c>
      <c r="DP118" s="81">
        <f t="shared" si="55"/>
        <v>1939917.4407727714</v>
      </c>
      <c r="DQ118" s="74">
        <f t="shared" si="56"/>
        <v>-1288168.9182645206</v>
      </c>
      <c r="DR118" s="85">
        <f t="shared" si="70"/>
        <v>-1.8098652508963766</v>
      </c>
      <c r="DS118" s="81">
        <f t="shared" si="57"/>
        <v>5289698.4025261933</v>
      </c>
      <c r="DT118" s="81">
        <f t="shared" si="67"/>
        <v>2013968.5038616022</v>
      </c>
      <c r="DU118" s="81">
        <f t="shared" si="42"/>
        <v>24798.699135896437</v>
      </c>
      <c r="DV118" s="81">
        <f t="shared" si="69"/>
        <v>611260.46571193147</v>
      </c>
      <c r="DW118" s="81">
        <f t="shared" si="43"/>
        <v>0</v>
      </c>
      <c r="DX118" s="81">
        <f t="shared" si="44"/>
        <v>0</v>
      </c>
      <c r="DY118" s="81">
        <f t="shared" si="45"/>
        <v>182159.59952768311</v>
      </c>
      <c r="DZ118" s="81">
        <f t="shared" si="46"/>
        <v>590096.19999999995</v>
      </c>
      <c r="EA118" s="74">
        <f t="shared" si="47"/>
        <v>-1288168.9182645206</v>
      </c>
      <c r="EB118" s="81">
        <f t="shared" si="68"/>
        <v>60000</v>
      </c>
      <c r="EC118" s="81">
        <f t="shared" si="68"/>
        <v>1939917.4407727714</v>
      </c>
      <c r="ED118" s="86">
        <v>0</v>
      </c>
      <c r="EE118" s="81">
        <f t="shared" si="59"/>
        <v>711748.52250825078</v>
      </c>
      <c r="EF118" s="81">
        <f t="shared" si="60"/>
        <v>9423730.393271558</v>
      </c>
      <c r="EG118" s="81">
        <f t="shared" si="49"/>
        <v>0</v>
      </c>
      <c r="EH118" s="81">
        <v>9460168.435419023</v>
      </c>
      <c r="EI118" s="84">
        <f t="shared" si="63"/>
        <v>8833634.1932715569</v>
      </c>
      <c r="EJ118" s="74">
        <f t="shared" si="50"/>
        <v>-36438.042147466913</v>
      </c>
      <c r="EK118" s="74">
        <f t="shared" si="51"/>
        <v>-626534.24214746617</v>
      </c>
      <c r="EM118" s="88">
        <f t="shared" si="52"/>
        <v>400</v>
      </c>
      <c r="EN118" s="74">
        <v>415</v>
      </c>
      <c r="EO118" s="74">
        <f t="shared" si="53"/>
        <v>-15</v>
      </c>
      <c r="EP118" s="94">
        <v>455</v>
      </c>
      <c r="EQ118" s="74">
        <f t="shared" si="61"/>
        <v>40</v>
      </c>
      <c r="ER118" s="72">
        <v>382</v>
      </c>
      <c r="ES118" s="74">
        <f t="shared" si="62"/>
        <v>18</v>
      </c>
      <c r="ET118" s="74"/>
      <c r="EU118" s="74"/>
      <c r="EV118" s="74"/>
      <c r="EW118" s="89"/>
      <c r="EX118" s="81">
        <f t="shared" si="71"/>
        <v>7547512.2123226384</v>
      </c>
      <c r="EY118" s="81">
        <f t="shared" si="72"/>
        <v>1876218.1809489196</v>
      </c>
    </row>
    <row r="119" spans="1:155" ht="27.75" customHeight="1" x14ac:dyDescent="0.25">
      <c r="A119" s="76">
        <v>861</v>
      </c>
      <c r="B119" s="76" t="s">
        <v>259</v>
      </c>
      <c r="C119" s="77" t="s">
        <v>184</v>
      </c>
      <c r="D119" s="41">
        <v>5</v>
      </c>
      <c r="E119" s="78">
        <v>21</v>
      </c>
      <c r="F119" s="78">
        <v>0</v>
      </c>
      <c r="G119" s="79">
        <v>173177.12015668923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59319.676384927567</v>
      </c>
      <c r="N119" s="79">
        <v>44635.326384927568</v>
      </c>
      <c r="O119" s="79">
        <v>0</v>
      </c>
      <c r="P119" s="79">
        <v>0</v>
      </c>
      <c r="Q119" s="79"/>
      <c r="R119" s="79">
        <v>0</v>
      </c>
      <c r="S119" s="79">
        <v>0</v>
      </c>
      <c r="T119" s="79">
        <v>0</v>
      </c>
      <c r="U119" s="79">
        <v>0</v>
      </c>
      <c r="V119" s="79">
        <v>0</v>
      </c>
      <c r="W119" s="79">
        <v>0</v>
      </c>
      <c r="X119" s="79">
        <v>0</v>
      </c>
      <c r="Y119" s="79">
        <v>54557.138098972166</v>
      </c>
      <c r="Z119" s="79"/>
      <c r="AA119" s="79">
        <v>0</v>
      </c>
      <c r="AB119" s="79">
        <v>0</v>
      </c>
      <c r="AC119" s="79">
        <v>0</v>
      </c>
      <c r="AD119" s="79">
        <v>0</v>
      </c>
      <c r="AE119" s="79">
        <v>0</v>
      </c>
      <c r="AF119" s="79">
        <v>0</v>
      </c>
      <c r="AG119" s="79">
        <v>0</v>
      </c>
      <c r="AH119" s="79">
        <v>0</v>
      </c>
      <c r="AI119" s="79">
        <v>0</v>
      </c>
      <c r="AJ119" s="79">
        <v>0</v>
      </c>
      <c r="AK119" s="79">
        <v>0</v>
      </c>
      <c r="AL119" s="79">
        <v>0</v>
      </c>
      <c r="AM119" s="79">
        <v>0</v>
      </c>
      <c r="AN119" s="79">
        <v>0</v>
      </c>
      <c r="AO119" s="79">
        <v>109114.27619794433</v>
      </c>
      <c r="AP119" s="79">
        <v>109114.27619794433</v>
      </c>
      <c r="AQ119" s="79">
        <v>109114.27619794433</v>
      </c>
      <c r="AR119" s="79">
        <v>109114.27619794433</v>
      </c>
      <c r="AS119" s="79">
        <v>109114.27619794433</v>
      </c>
      <c r="AT119" s="79">
        <v>0</v>
      </c>
      <c r="AU119" s="79">
        <v>0</v>
      </c>
      <c r="AV119" s="79"/>
      <c r="AW119" s="79">
        <v>0</v>
      </c>
      <c r="AX119" s="79">
        <v>54557.138098972166</v>
      </c>
      <c r="AY119" s="79">
        <v>218228.55239588866</v>
      </c>
      <c r="AZ119" s="79">
        <v>436457.10479177732</v>
      </c>
      <c r="BA119" s="79">
        <v>0</v>
      </c>
      <c r="BB119" s="79">
        <v>0</v>
      </c>
      <c r="BC119" s="79">
        <v>0</v>
      </c>
      <c r="BD119" s="79">
        <v>9919.4796543585762</v>
      </c>
      <c r="BE119" s="79">
        <v>0</v>
      </c>
      <c r="BF119" s="79">
        <v>0</v>
      </c>
      <c r="BG119" s="79">
        <v>0</v>
      </c>
      <c r="BH119" s="95">
        <v>0</v>
      </c>
      <c r="BI119" s="95">
        <v>0</v>
      </c>
      <c r="BJ119" s="79">
        <v>20000</v>
      </c>
      <c r="BK119" s="79">
        <v>0</v>
      </c>
      <c r="BL119" s="79"/>
      <c r="BM119" s="79">
        <v>0</v>
      </c>
      <c r="BN119" s="79">
        <v>0</v>
      </c>
      <c r="BO119" s="79">
        <v>1300</v>
      </c>
      <c r="BP119" s="79">
        <v>0</v>
      </c>
      <c r="BQ119" s="79">
        <v>0</v>
      </c>
      <c r="BR119" s="79">
        <v>0</v>
      </c>
      <c r="BS119" s="79">
        <v>0</v>
      </c>
      <c r="BT119" s="79">
        <v>0</v>
      </c>
      <c r="BU119" s="79">
        <v>0</v>
      </c>
      <c r="BV119" s="79">
        <v>0</v>
      </c>
      <c r="BW119" s="80">
        <v>0</v>
      </c>
      <c r="BX119" s="80">
        <v>0</v>
      </c>
      <c r="BY119" s="80">
        <v>0</v>
      </c>
      <c r="BZ119" s="80">
        <v>0</v>
      </c>
      <c r="CA119" s="80">
        <v>0</v>
      </c>
      <c r="CB119" s="80">
        <v>0</v>
      </c>
      <c r="CC119" s="80">
        <v>0</v>
      </c>
      <c r="CD119" s="79">
        <v>0</v>
      </c>
      <c r="CE119" s="79">
        <v>0</v>
      </c>
      <c r="CF119" s="103">
        <v>0</v>
      </c>
      <c r="CG119" s="79">
        <v>0</v>
      </c>
      <c r="CH119" s="79">
        <v>0</v>
      </c>
      <c r="CI119" s="79">
        <v>0</v>
      </c>
      <c r="CJ119" s="79">
        <v>0</v>
      </c>
      <c r="CK119" s="79">
        <v>0</v>
      </c>
      <c r="CL119" s="79">
        <v>0</v>
      </c>
      <c r="CM119" s="79">
        <v>0</v>
      </c>
      <c r="CN119" s="79">
        <v>0</v>
      </c>
      <c r="CO119" s="79">
        <v>0</v>
      </c>
      <c r="CP119" s="79">
        <v>0</v>
      </c>
      <c r="CQ119" s="79">
        <v>0</v>
      </c>
      <c r="CR119" s="79">
        <v>0</v>
      </c>
      <c r="CS119" s="79">
        <v>0</v>
      </c>
      <c r="CT119" s="79"/>
      <c r="CU119" s="79">
        <v>0</v>
      </c>
      <c r="CV119" s="79"/>
      <c r="CW119" s="79">
        <v>0</v>
      </c>
      <c r="CX119" s="79">
        <v>0</v>
      </c>
      <c r="CY119" s="79">
        <v>0</v>
      </c>
      <c r="CZ119" s="79">
        <v>0</v>
      </c>
      <c r="DA119" s="79">
        <v>2100</v>
      </c>
      <c r="DB119" s="79">
        <v>25702.408962995378</v>
      </c>
      <c r="DC119" s="82">
        <v>0</v>
      </c>
      <c r="DD119" s="79">
        <v>864788</v>
      </c>
      <c r="DE119" s="79">
        <v>750</v>
      </c>
      <c r="DG119" s="79">
        <v>0</v>
      </c>
      <c r="DH119" s="83">
        <v>0</v>
      </c>
      <c r="DI119" s="79">
        <v>119574.44409139191</v>
      </c>
      <c r="DJ119" s="79">
        <v>2511063.3259192295</v>
      </c>
      <c r="DK119" s="84">
        <v>-11063.325919229537</v>
      </c>
      <c r="DL119" s="84">
        <v>24214.31</v>
      </c>
      <c r="DM119" s="84">
        <f t="shared" si="54"/>
        <v>2524214.31</v>
      </c>
      <c r="DN119" s="84">
        <f>'[7]FY20 Initial Budget Alloca FTE'!F119*DN$1</f>
        <v>0</v>
      </c>
      <c r="DO119" s="81">
        <f t="shared" si="40"/>
        <v>0</v>
      </c>
      <c r="DP119" s="81">
        <f t="shared" si="55"/>
        <v>0</v>
      </c>
      <c r="DQ119" s="74">
        <f t="shared" si="56"/>
        <v>0</v>
      </c>
      <c r="DR119" s="85"/>
      <c r="DS119" s="81">
        <f t="shared" si="57"/>
        <v>925813.05097823346</v>
      </c>
      <c r="DT119" s="81">
        <f t="shared" si="67"/>
        <v>709242.7952866382</v>
      </c>
      <c r="DU119" s="81">
        <f t="shared" si="42"/>
        <v>9919.4796543585762</v>
      </c>
      <c r="DV119" s="81">
        <f t="shared" si="69"/>
        <v>1300</v>
      </c>
      <c r="DW119" s="81">
        <f t="shared" si="43"/>
        <v>864788</v>
      </c>
      <c r="DX119" s="81">
        <f t="shared" si="44"/>
        <v>0</v>
      </c>
      <c r="DY119" s="81">
        <f t="shared" si="45"/>
        <v>0</v>
      </c>
      <c r="DZ119" s="81">
        <f t="shared" si="46"/>
        <v>0</v>
      </c>
      <c r="EA119" s="74">
        <f t="shared" si="47"/>
        <v>0</v>
      </c>
      <c r="EB119" s="81">
        <f t="shared" si="68"/>
        <v>0</v>
      </c>
      <c r="EC119" s="81">
        <f t="shared" si="68"/>
        <v>0</v>
      </c>
      <c r="ED119" s="86" t="s">
        <v>142</v>
      </c>
      <c r="EE119" s="81">
        <f t="shared" si="59"/>
        <v>0</v>
      </c>
      <c r="EF119" s="81">
        <f t="shared" si="60"/>
        <v>2511063.3259192305</v>
      </c>
      <c r="EG119" s="81">
        <f t="shared" si="49"/>
        <v>0</v>
      </c>
      <c r="EH119" s="81">
        <v>2621121.5380870374</v>
      </c>
      <c r="EI119" s="84">
        <f t="shared" si="63"/>
        <v>2511063.3259192295</v>
      </c>
      <c r="EJ119" s="74">
        <f t="shared" si="50"/>
        <v>-110058.21216780785</v>
      </c>
      <c r="EK119" s="74">
        <f t="shared" si="51"/>
        <v>-110058.21216780785</v>
      </c>
      <c r="EM119" s="88">
        <f t="shared" si="52"/>
        <v>21</v>
      </c>
      <c r="EN119" s="74">
        <v>46</v>
      </c>
      <c r="EO119" s="74">
        <f t="shared" si="53"/>
        <v>-25</v>
      </c>
      <c r="EP119" s="72">
        <v>31</v>
      </c>
      <c r="EQ119" s="74">
        <f t="shared" si="61"/>
        <v>-15</v>
      </c>
      <c r="ER119" s="72">
        <v>52</v>
      </c>
      <c r="ES119" s="74">
        <f t="shared" si="62"/>
        <v>-31</v>
      </c>
      <c r="ET119" s="74"/>
      <c r="EU119" s="74"/>
      <c r="EV119" s="74"/>
      <c r="EW119" s="89"/>
      <c r="EX119" s="81">
        <f t="shared" si="71"/>
        <v>1596422.9169562345</v>
      </c>
      <c r="EY119" s="81">
        <f t="shared" si="72"/>
        <v>894640.4089629954</v>
      </c>
    </row>
    <row r="120" spans="1:155" s="72" customFormat="1" x14ac:dyDescent="0.25">
      <c r="A120" s="104"/>
      <c r="B120" s="104"/>
      <c r="C120" s="104"/>
      <c r="D120" s="104"/>
      <c r="E120" s="88">
        <f>SUM(E3:E119)</f>
        <v>50003</v>
      </c>
      <c r="F120" s="88">
        <f>SUM(F3:F119)</f>
        <v>25219.037597286275</v>
      </c>
      <c r="G120" s="81">
        <f t="shared" ref="G120:BW120" si="73">SUM(G3:G119)</f>
        <v>19569014.337392505</v>
      </c>
      <c r="H120" s="81">
        <f t="shared" si="73"/>
        <v>12602698.900862565</v>
      </c>
      <c r="I120" s="81">
        <f t="shared" si="73"/>
        <v>18208323.645874839</v>
      </c>
      <c r="J120" s="81">
        <f t="shared" si="73"/>
        <v>3808088.2393082562</v>
      </c>
      <c r="K120" s="81">
        <f t="shared" si="73"/>
        <v>6135468.3297714153</v>
      </c>
      <c r="L120" s="81">
        <f t="shared" si="73"/>
        <v>8035366.0354338745</v>
      </c>
      <c r="M120" s="81">
        <f t="shared" si="73"/>
        <v>6940402.4606516073</v>
      </c>
      <c r="N120" s="81">
        <f t="shared" si="73"/>
        <v>3619924.9698176254</v>
      </c>
      <c r="O120" s="81">
        <f t="shared" si="73"/>
        <v>1002600.5276985513</v>
      </c>
      <c r="P120" s="81">
        <f t="shared" si="73"/>
        <v>1251471.7349348117</v>
      </c>
      <c r="Q120" s="81">
        <f t="shared" si="73"/>
        <v>375441.52048044349</v>
      </c>
      <c r="R120" s="81">
        <f t="shared" si="73"/>
        <v>7978221.3891284047</v>
      </c>
      <c r="S120" s="81">
        <f t="shared" si="73"/>
        <v>6282379.0891284347</v>
      </c>
      <c r="T120" s="81">
        <f t="shared" si="73"/>
        <v>15470961.075223293</v>
      </c>
      <c r="U120" s="81">
        <f t="shared" si="73"/>
        <v>10911427.48169546</v>
      </c>
      <c r="V120" s="81">
        <f t="shared" si="73"/>
        <v>8729142.0958355609</v>
      </c>
      <c r="W120" s="81">
        <f t="shared" si="73"/>
        <v>8729142.0958355609</v>
      </c>
      <c r="X120" s="81">
        <f t="shared" si="73"/>
        <v>8729142.0958355609</v>
      </c>
      <c r="Y120" s="81">
        <f t="shared" si="73"/>
        <v>5837613.7765900251</v>
      </c>
      <c r="Z120" s="81">
        <f t="shared" si="73"/>
        <v>2182285.5239588865</v>
      </c>
      <c r="AA120" s="81">
        <f t="shared" si="73"/>
        <v>13966627.353336889</v>
      </c>
      <c r="AB120" s="81">
        <f t="shared" si="73"/>
        <v>4403536.1772707319</v>
      </c>
      <c r="AC120" s="81">
        <f t="shared" si="73"/>
        <v>9492942.0292211603</v>
      </c>
      <c r="AD120" s="81">
        <f t="shared" si="73"/>
        <v>3165041.6274133376</v>
      </c>
      <c r="AE120" s="81">
        <f t="shared" si="73"/>
        <v>16912712.810681388</v>
      </c>
      <c r="AF120" s="81">
        <f t="shared" si="73"/>
        <v>5332407.0896637747</v>
      </c>
      <c r="AG120" s="81">
        <f t="shared" si="73"/>
        <v>23132226.553964198</v>
      </c>
      <c r="AH120" s="81">
        <f t="shared" si="73"/>
        <v>7293356.7936046431</v>
      </c>
      <c r="AI120" s="81">
        <f t="shared" si="73"/>
        <v>22368426.620578595</v>
      </c>
      <c r="AJ120" s="81">
        <f t="shared" si="73"/>
        <v>22041083.791984759</v>
      </c>
      <c r="AK120" s="81">
        <f t="shared" si="73"/>
        <v>21386398.134797093</v>
      </c>
      <c r="AL120" s="81">
        <f t="shared" si="73"/>
        <v>20077026.820421766</v>
      </c>
      <c r="AM120" s="81">
        <f t="shared" si="73"/>
        <v>19094998.334640272</v>
      </c>
      <c r="AN120" s="81">
        <f t="shared" si="73"/>
        <v>13650195.952362832</v>
      </c>
      <c r="AO120" s="81">
        <f t="shared" si="73"/>
        <v>14304881.609550498</v>
      </c>
      <c r="AP120" s="81">
        <f t="shared" si="73"/>
        <v>12810016.025638664</v>
      </c>
      <c r="AQ120" s="81">
        <f t="shared" si="73"/>
        <v>5030168.1327252341</v>
      </c>
      <c r="AR120" s="81">
        <f t="shared" si="73"/>
        <v>4255456.7717198292</v>
      </c>
      <c r="AS120" s="81">
        <f t="shared" si="73"/>
        <v>3677151.1078707245</v>
      </c>
      <c r="AT120" s="81">
        <f t="shared" si="73"/>
        <v>3349808.2792768911</v>
      </c>
      <c r="AU120" s="81">
        <f t="shared" si="73"/>
        <v>600128.51908869378</v>
      </c>
      <c r="AV120" s="81">
        <f t="shared" si="73"/>
        <v>37550768.867887564</v>
      </c>
      <c r="AW120" s="81">
        <f t="shared" si="73"/>
        <v>10437576.332061969</v>
      </c>
      <c r="AX120" s="81">
        <f t="shared" si="73"/>
        <v>11674378.917874908</v>
      </c>
      <c r="AY120" s="81">
        <f t="shared" si="73"/>
        <v>24332483.315943636</v>
      </c>
      <c r="AZ120" s="81">
        <f t="shared" si="73"/>
        <v>84836349.467703804</v>
      </c>
      <c r="BA120" s="81">
        <f t="shared" si="73"/>
        <v>13279413.784582052</v>
      </c>
      <c r="BB120" s="81">
        <f t="shared" si="73"/>
        <v>2210919.9137066673</v>
      </c>
      <c r="BC120" s="81">
        <f t="shared" si="73"/>
        <v>1157222</v>
      </c>
      <c r="BD120" s="81">
        <f t="shared" si="73"/>
        <v>39196823.854197882</v>
      </c>
      <c r="BE120" s="81">
        <f t="shared" si="73"/>
        <v>206415.75830956543</v>
      </c>
      <c r="BF120" s="81">
        <f t="shared" si="73"/>
        <v>5325472.1052364642</v>
      </c>
      <c r="BG120" s="81">
        <f t="shared" si="73"/>
        <v>752074.7000000003</v>
      </c>
      <c r="BH120" s="81">
        <f t="shared" si="73"/>
        <v>1874408</v>
      </c>
      <c r="BI120" s="81">
        <f t="shared" si="73"/>
        <v>316498</v>
      </c>
      <c r="BJ120" s="81">
        <f t="shared" si="73"/>
        <v>310000</v>
      </c>
      <c r="BK120" s="81">
        <f t="shared" si="73"/>
        <v>810000</v>
      </c>
      <c r="BL120" s="81"/>
      <c r="BM120" s="81">
        <f t="shared" si="73"/>
        <v>15488514.630000001</v>
      </c>
      <c r="BN120" s="81">
        <f t="shared" si="73"/>
        <v>246462.35999999993</v>
      </c>
      <c r="BO120" s="81">
        <f t="shared" si="73"/>
        <v>360325</v>
      </c>
      <c r="BP120" s="81">
        <f t="shared" si="73"/>
        <v>748011.1</v>
      </c>
      <c r="BQ120" s="81">
        <f t="shared" si="73"/>
        <v>763799.93338561023</v>
      </c>
      <c r="BR120" s="81">
        <f t="shared" si="73"/>
        <v>1263556.9814102028</v>
      </c>
      <c r="BS120" s="81">
        <f t="shared" si="73"/>
        <v>327342.82859383302</v>
      </c>
      <c r="BT120" s="81">
        <f t="shared" si="73"/>
        <v>545571.38098972163</v>
      </c>
      <c r="BU120" s="81">
        <f t="shared" si="73"/>
        <v>280790.44031337847</v>
      </c>
      <c r="BV120" s="81">
        <f t="shared" si="73"/>
        <v>1263556.9814102028</v>
      </c>
      <c r="BW120" s="81">
        <f t="shared" si="73"/>
        <v>216560</v>
      </c>
      <c r="BX120" s="81">
        <f t="shared" ref="BX120:DI120" si="74">SUM(BX3:BX119)</f>
        <v>224440</v>
      </c>
      <c r="BY120" s="81">
        <f t="shared" si="74"/>
        <v>0</v>
      </c>
      <c r="BZ120" s="81">
        <f t="shared" si="74"/>
        <v>505000</v>
      </c>
      <c r="CA120" s="81">
        <f t="shared" si="74"/>
        <v>218228.55239588866</v>
      </c>
      <c r="CB120" s="81">
        <f t="shared" si="74"/>
        <v>105202</v>
      </c>
      <c r="CC120" s="81">
        <f t="shared" si="74"/>
        <v>237000</v>
      </c>
      <c r="CD120" s="81">
        <f t="shared" si="74"/>
        <v>2836971.1811465523</v>
      </c>
      <c r="CE120" s="81">
        <f t="shared" si="74"/>
        <v>109114.27619794433</v>
      </c>
      <c r="CF120" s="81">
        <f t="shared" si="74"/>
        <v>1875098.9717235814</v>
      </c>
      <c r="CG120" s="81">
        <f t="shared" si="74"/>
        <v>841616</v>
      </c>
      <c r="CH120" s="81">
        <f t="shared" si="74"/>
        <v>654685.65718766593</v>
      </c>
      <c r="CI120" s="81">
        <f t="shared" si="74"/>
        <v>7747113.6100540468</v>
      </c>
      <c r="CJ120" s="81">
        <f t="shared" si="74"/>
        <v>109114.27619794433</v>
      </c>
      <c r="CK120" s="81">
        <f t="shared" si="74"/>
        <v>745500</v>
      </c>
      <c r="CL120" s="81">
        <f t="shared" si="74"/>
        <v>160000</v>
      </c>
      <c r="CM120" s="81">
        <f t="shared" si="74"/>
        <v>21246964.68000003</v>
      </c>
      <c r="CN120" s="81">
        <f t="shared" si="74"/>
        <v>3200000</v>
      </c>
      <c r="CO120" s="81">
        <f t="shared" si="74"/>
        <v>1578030</v>
      </c>
      <c r="CP120" s="81">
        <f t="shared" si="74"/>
        <v>1050000</v>
      </c>
      <c r="CQ120" s="81">
        <f t="shared" si="74"/>
        <v>703977.85058413562</v>
      </c>
      <c r="CR120" s="81">
        <f t="shared" si="74"/>
        <v>3596640</v>
      </c>
      <c r="CS120" s="81">
        <f t="shared" si="74"/>
        <v>3894490.9349059821</v>
      </c>
      <c r="CT120" s="81">
        <f t="shared" si="74"/>
        <v>415057</v>
      </c>
      <c r="CU120" s="81">
        <f t="shared" si="74"/>
        <v>1262424</v>
      </c>
      <c r="CV120" s="81">
        <f t="shared" si="74"/>
        <v>600000</v>
      </c>
      <c r="CW120" s="81">
        <f t="shared" si="74"/>
        <v>0</v>
      </c>
      <c r="CX120" s="81">
        <f t="shared" si="74"/>
        <v>315606</v>
      </c>
      <c r="CY120" s="81">
        <f t="shared" si="74"/>
        <v>30000</v>
      </c>
      <c r="CZ120" s="81">
        <f t="shared" si="74"/>
        <v>647925</v>
      </c>
      <c r="DA120" s="81">
        <f t="shared" si="74"/>
        <v>5119003</v>
      </c>
      <c r="DB120" s="81">
        <f t="shared" si="74"/>
        <v>10500716.458730731</v>
      </c>
      <c r="DC120" s="81">
        <f t="shared" si="74"/>
        <v>5402096.6917524775</v>
      </c>
      <c r="DD120" s="81">
        <f t="shared" si="74"/>
        <v>7469597.2936098333</v>
      </c>
      <c r="DE120" s="81">
        <f t="shared" si="74"/>
        <v>19700</v>
      </c>
      <c r="DF120" s="81">
        <f t="shared" si="74"/>
        <v>2492600</v>
      </c>
      <c r="DG120" s="81">
        <f t="shared" si="74"/>
        <v>445375.65381090355</v>
      </c>
      <c r="DH120" s="81">
        <f t="shared" si="74"/>
        <v>3076320.4875685284</v>
      </c>
      <c r="DI120" s="81">
        <f t="shared" si="74"/>
        <v>1988775.4746018173</v>
      </c>
      <c r="DJ120" s="81">
        <f>SUM(DJ3:DJ119)</f>
        <v>749201862.29074311</v>
      </c>
      <c r="DK120" s="81">
        <f t="shared" ref="DK120:DM120" si="75">SUM(DK3:DK119)</f>
        <v>4091233.7327822493</v>
      </c>
      <c r="DL120" s="81">
        <f t="shared" si="75"/>
        <v>5353000.0199999996</v>
      </c>
      <c r="DM120" s="81">
        <f t="shared" si="75"/>
        <v>758646096.0435251</v>
      </c>
      <c r="DN120" s="81">
        <f>SUM(DN3:DN119)</f>
        <v>55377475.898377016</v>
      </c>
      <c r="DO120" s="81">
        <f t="shared" ref="DO120:EF120" si="76">SUM(DO3:DO119)</f>
        <v>3752980.6999999983</v>
      </c>
      <c r="DP120" s="81">
        <f t="shared" si="76"/>
        <v>29609023.640120178</v>
      </c>
      <c r="DQ120" s="81">
        <f t="shared" si="76"/>
        <v>22015471.558256846</v>
      </c>
      <c r="DR120" s="85">
        <f>DQ120/DN120</f>
        <v>0.39755281729808972</v>
      </c>
      <c r="DS120" s="81">
        <f t="shared" si="76"/>
        <v>456117000.27806944</v>
      </c>
      <c r="DT120" s="81">
        <f t="shared" si="76"/>
        <v>137490767.39981109</v>
      </c>
      <c r="DU120" s="81">
        <f t="shared" si="76"/>
        <v>44728711.717743926</v>
      </c>
      <c r="DV120" s="81">
        <f t="shared" si="76"/>
        <v>18380466.343810908</v>
      </c>
      <c r="DW120" s="81">
        <f t="shared" si="76"/>
        <v>7469597.2936098333</v>
      </c>
      <c r="DX120" s="81">
        <f t="shared" si="76"/>
        <v>5402096.6917524775</v>
      </c>
      <c r="DY120" s="81">
        <f t="shared" si="76"/>
        <v>3076320.4875685284</v>
      </c>
      <c r="DZ120" s="81">
        <f t="shared" si="76"/>
        <v>21246964.68000003</v>
      </c>
      <c r="EA120" s="81">
        <f t="shared" si="76"/>
        <v>22015471.558256846</v>
      </c>
      <c r="EB120" s="81">
        <f t="shared" si="76"/>
        <v>3752980.6999999983</v>
      </c>
      <c r="EC120" s="81">
        <f t="shared" si="76"/>
        <v>29609023.640120178</v>
      </c>
      <c r="ED120" s="81">
        <f t="shared" si="76"/>
        <v>65.827592108437216</v>
      </c>
      <c r="EE120" s="81">
        <f t="shared" si="76"/>
        <v>55377475.898377016</v>
      </c>
      <c r="EF120" s="81">
        <f t="shared" si="76"/>
        <v>749289400.79074311</v>
      </c>
      <c r="EH120" s="81">
        <f>SUM(EH3:EH119)</f>
        <v>691766005.19076502</v>
      </c>
      <c r="EI120" s="81">
        <f>SUM(EI3:EI119)</f>
        <v>714354615.39571536</v>
      </c>
      <c r="EJ120" s="74">
        <f t="shared" si="50"/>
        <v>57435857.099978089</v>
      </c>
      <c r="EK120" s="74">
        <f t="shared" si="51"/>
        <v>22588610.204950333</v>
      </c>
      <c r="EM120" s="74">
        <f>SUM(EM3:EM119)</f>
        <v>50003</v>
      </c>
      <c r="EN120" s="74">
        <f>SUM(EN3:EN119)</f>
        <v>49467</v>
      </c>
      <c r="EO120" s="74"/>
      <c r="EP120" s="74">
        <f>SUM(EP3:EP119)</f>
        <v>49055</v>
      </c>
      <c r="ES120" s="74"/>
      <c r="ET120" s="74"/>
      <c r="EU120" s="74"/>
      <c r="EV120" s="74"/>
      <c r="EW120" s="105"/>
      <c r="EX120" s="81">
        <f>SUM(EX3:EX119)</f>
        <v>659046287.77358282</v>
      </c>
      <c r="EY120" s="81">
        <f>SUM(EY3:EY119)</f>
        <v>89823998.74096261</v>
      </c>
    </row>
    <row r="121" spans="1:155" x14ac:dyDescent="0.25">
      <c r="B121" s="30" t="s">
        <v>379</v>
      </c>
      <c r="G121" s="81">
        <v>173177.12015668923</v>
      </c>
      <c r="H121" s="81">
        <v>109114.27619794433</v>
      </c>
      <c r="I121" s="81">
        <v>140395.22015668923</v>
      </c>
      <c r="J121" s="81">
        <v>109114.27619794433</v>
      </c>
      <c r="K121" s="81">
        <v>118891</v>
      </c>
      <c r="L121" s="81">
        <v>81577.320156689224</v>
      </c>
      <c r="M121" s="81">
        <v>59319.676384927567</v>
      </c>
      <c r="N121" s="81">
        <v>44635.326384927568</v>
      </c>
      <c r="O121" s="81">
        <v>50130.026384927565</v>
      </c>
      <c r="P121" s="81">
        <v>62573.586746740584</v>
      </c>
      <c r="Q121" s="81">
        <v>62573.586746740584</v>
      </c>
      <c r="R121" s="81">
        <v>69375.836746740591</v>
      </c>
      <c r="S121" s="81">
        <v>54629.386746740587</v>
      </c>
      <c r="T121" s="81">
        <v>48958.736746740586</v>
      </c>
      <c r="U121" s="81">
        <v>109114.27619794433</v>
      </c>
      <c r="V121" s="81">
        <v>109114.27619794433</v>
      </c>
      <c r="W121" s="81">
        <v>109114.27619794433</v>
      </c>
      <c r="X121" s="81">
        <v>109114.27619794433</v>
      </c>
      <c r="Y121" s="81">
        <v>109114.27619794433</v>
      </c>
      <c r="Z121" s="81">
        <v>109114.27619794433</v>
      </c>
      <c r="AA121" s="81">
        <v>109114.27619794433</v>
      </c>
      <c r="AB121" s="81">
        <v>34402.626384927571</v>
      </c>
      <c r="AC121" s="81">
        <v>109114.27619794433</v>
      </c>
      <c r="AD121" s="81">
        <v>34402.626384927571</v>
      </c>
      <c r="AE121" s="81">
        <v>109114.27619794433</v>
      </c>
      <c r="AF121" s="81">
        <v>34402.626384927571</v>
      </c>
      <c r="AG121" s="81">
        <v>109114.27619794433</v>
      </c>
      <c r="AH121" s="81">
        <v>34402.626384927571</v>
      </c>
      <c r="AI121" s="81">
        <v>109114.27619794433</v>
      </c>
      <c r="AJ121" s="81">
        <v>109114.27619794433</v>
      </c>
      <c r="AK121" s="81">
        <v>109114.27619794433</v>
      </c>
      <c r="AL121" s="81">
        <v>109114.27619794433</v>
      </c>
      <c r="AM121" s="81">
        <v>109114.27619794433</v>
      </c>
      <c r="AN121" s="81">
        <v>109114.27619794433</v>
      </c>
      <c r="AO121" s="81">
        <v>109114.27619794433</v>
      </c>
      <c r="AP121" s="81">
        <v>109114.27619794433</v>
      </c>
      <c r="AQ121" s="81">
        <v>109114.27619794433</v>
      </c>
      <c r="AR121" s="81">
        <v>109114.27619794433</v>
      </c>
      <c r="AS121" s="81">
        <v>109114.27619794433</v>
      </c>
      <c r="AT121" s="81">
        <v>109114.27619794433</v>
      </c>
      <c r="AU121" s="81">
        <v>109114.27619794433</v>
      </c>
      <c r="AV121" s="81">
        <v>109114.27619794433</v>
      </c>
      <c r="AW121" s="81">
        <v>109114.27619794433</v>
      </c>
      <c r="AX121" s="81">
        <v>109114.27619794433</v>
      </c>
      <c r="AY121" s="81">
        <v>109114.27619794433</v>
      </c>
      <c r="AZ121" s="81">
        <v>109114.27619794433</v>
      </c>
      <c r="BA121" s="81">
        <v>34402.626384927571</v>
      </c>
      <c r="BB121" s="81">
        <v>48063.47638492757</v>
      </c>
      <c r="BC121" s="81">
        <v>105202</v>
      </c>
      <c r="BD121" s="81">
        <v>109114.27619794433</v>
      </c>
      <c r="BE121" s="81">
        <v>34402.626384927571</v>
      </c>
      <c r="BF121" s="81">
        <v>109114.27619794433</v>
      </c>
      <c r="BG121" s="81">
        <v>5986</v>
      </c>
      <c r="BH121" s="81">
        <v>5612</v>
      </c>
      <c r="BI121" s="81">
        <v>6734</v>
      </c>
      <c r="BJ121" s="81"/>
      <c r="BP121" s="81">
        <v>105202</v>
      </c>
      <c r="BQ121" s="81">
        <v>109114.27619794433</v>
      </c>
      <c r="BR121" s="81">
        <v>140395.22015668923</v>
      </c>
      <c r="BS121" s="81">
        <v>109114.27619794433</v>
      </c>
      <c r="BT121" s="81">
        <v>109114.27619794433</v>
      </c>
      <c r="BU121" s="81">
        <v>140395.22015668923</v>
      </c>
      <c r="BV121" s="81">
        <v>140395.22015668923</v>
      </c>
      <c r="BW121" s="81"/>
      <c r="BX121" s="81"/>
      <c r="BY121" s="81"/>
      <c r="BZ121" s="81"/>
      <c r="CA121" s="81">
        <v>109114.27619794433</v>
      </c>
      <c r="CB121" s="81">
        <v>105202</v>
      </c>
      <c r="CC121" s="81"/>
      <c r="CD121" s="81">
        <v>109114.27619794433</v>
      </c>
      <c r="CE121" s="81">
        <v>109114.27619794433</v>
      </c>
      <c r="CF121" s="81">
        <v>128098.27015668922</v>
      </c>
      <c r="CG121" s="81">
        <v>105202</v>
      </c>
      <c r="CH121" s="81">
        <v>109114.27619794433</v>
      </c>
      <c r="CI121" s="81">
        <v>109114.27619794433</v>
      </c>
      <c r="CJ121" s="81">
        <v>109114.27619794433</v>
      </c>
      <c r="CO121" s="81">
        <v>105202</v>
      </c>
      <c r="CT121" s="81">
        <v>105202</v>
      </c>
      <c r="CU121" s="81">
        <v>105202</v>
      </c>
      <c r="CV121" s="81">
        <v>105202</v>
      </c>
      <c r="CX121" s="81">
        <v>105202</v>
      </c>
      <c r="EH121" s="72"/>
      <c r="EI121" s="72"/>
      <c r="EJ121" s="74"/>
      <c r="EK121" s="72"/>
      <c r="EM121" s="72"/>
      <c r="EN121" s="74"/>
      <c r="EO121" s="74"/>
      <c r="EP121" s="72"/>
      <c r="EQ121" s="72"/>
      <c r="ER121" s="72"/>
      <c r="ES121" s="74"/>
      <c r="ET121" s="74"/>
      <c r="EU121" s="74"/>
      <c r="EV121" s="74"/>
      <c r="EW121" s="89"/>
    </row>
    <row r="122" spans="1:155" x14ac:dyDescent="0.25">
      <c r="B122" s="30" t="s">
        <v>380</v>
      </c>
      <c r="G122" s="78">
        <f>G120/G121</f>
        <v>112.99999861232605</v>
      </c>
      <c r="H122" s="78">
        <f t="shared" ref="H122:BI122" si="77">H120/H121</f>
        <v>115.49999999999996</v>
      </c>
      <c r="I122" s="78">
        <f t="shared" si="77"/>
        <v>129.6933301970914</v>
      </c>
      <c r="J122" s="78">
        <f t="shared" si="77"/>
        <v>34.899999999999991</v>
      </c>
      <c r="K122" s="78">
        <f t="shared" si="77"/>
        <v>51.60582659554899</v>
      </c>
      <c r="L122" s="78">
        <f t="shared" si="77"/>
        <v>98.499999999999829</v>
      </c>
      <c r="M122" s="78">
        <f t="shared" si="77"/>
        <v>117.00000545544248</v>
      </c>
      <c r="N122" s="78">
        <f t="shared" si="77"/>
        <v>81.099999999999994</v>
      </c>
      <c r="O122" s="78">
        <f t="shared" si="77"/>
        <v>20</v>
      </c>
      <c r="P122" s="78">
        <f t="shared" si="77"/>
        <v>20</v>
      </c>
      <c r="Q122" s="78">
        <f t="shared" si="77"/>
        <v>6</v>
      </c>
      <c r="R122" s="78">
        <f t="shared" si="77"/>
        <v>115.00000235317142</v>
      </c>
      <c r="S122" s="78">
        <f t="shared" si="77"/>
        <v>114.9999929205368</v>
      </c>
      <c r="T122" s="78">
        <f t="shared" si="77"/>
        <v>316.00000537704375</v>
      </c>
      <c r="U122" s="78">
        <f t="shared" si="77"/>
        <v>99.999998734363842</v>
      </c>
      <c r="V122" s="78">
        <f t="shared" si="77"/>
        <v>80.000000000000128</v>
      </c>
      <c r="W122" s="78">
        <f t="shared" si="77"/>
        <v>80.000000000000128</v>
      </c>
      <c r="X122" s="78">
        <f t="shared" si="77"/>
        <v>80.000000000000128</v>
      </c>
      <c r="Y122" s="78">
        <f t="shared" si="77"/>
        <v>53.500000000000028</v>
      </c>
      <c r="Z122" s="78">
        <f t="shared" si="77"/>
        <v>20</v>
      </c>
      <c r="AA122" s="78">
        <f t="shared" si="77"/>
        <v>128.00000000000014</v>
      </c>
      <c r="AB122" s="78">
        <f t="shared" si="77"/>
        <v>128.00000000000009</v>
      </c>
      <c r="AC122" s="78">
        <f t="shared" si="77"/>
        <v>87.000000000000028</v>
      </c>
      <c r="AD122" s="78">
        <f t="shared" si="77"/>
        <v>92.000000000000028</v>
      </c>
      <c r="AE122" s="78">
        <f t="shared" si="77"/>
        <v>155.00000000000014</v>
      </c>
      <c r="AF122" s="78">
        <f t="shared" si="77"/>
        <v>155.00000000000003</v>
      </c>
      <c r="AG122" s="78">
        <f t="shared" si="77"/>
        <v>212</v>
      </c>
      <c r="AH122" s="78">
        <f t="shared" si="77"/>
        <v>211.99999999999994</v>
      </c>
      <c r="AI122" s="78">
        <f t="shared" si="77"/>
        <v>205.00000000000006</v>
      </c>
      <c r="AJ122" s="78">
        <f t="shared" si="77"/>
        <v>202.00000000000003</v>
      </c>
      <c r="AK122" s="78">
        <f t="shared" si="77"/>
        <v>196.00000000000003</v>
      </c>
      <c r="AL122" s="78">
        <f t="shared" si="77"/>
        <v>184.00000000000009</v>
      </c>
      <c r="AM122" s="78">
        <f t="shared" si="77"/>
        <v>175.00000000000014</v>
      </c>
      <c r="AN122" s="78">
        <f t="shared" si="77"/>
        <v>125.09999999999997</v>
      </c>
      <c r="AO122" s="78">
        <f t="shared" si="77"/>
        <v>131.09999999999997</v>
      </c>
      <c r="AP122" s="78">
        <f t="shared" si="77"/>
        <v>117.39999999999999</v>
      </c>
      <c r="AQ122" s="78">
        <f t="shared" si="77"/>
        <v>46.1</v>
      </c>
      <c r="AR122" s="78">
        <f t="shared" si="77"/>
        <v>39</v>
      </c>
      <c r="AS122" s="78">
        <f t="shared" si="77"/>
        <v>33.700000000000003</v>
      </c>
      <c r="AT122" s="78">
        <f t="shared" si="77"/>
        <v>30.700000000000003</v>
      </c>
      <c r="AU122" s="78">
        <f t="shared" si="77"/>
        <v>5.5</v>
      </c>
      <c r="AV122" s="78">
        <f t="shared" si="77"/>
        <v>344.14166666666671</v>
      </c>
      <c r="AW122" s="78">
        <f t="shared" si="77"/>
        <v>95.657293396944226</v>
      </c>
      <c r="AX122" s="78">
        <f t="shared" si="77"/>
        <v>106.99222250896302</v>
      </c>
      <c r="AY122" s="78">
        <f t="shared" si="77"/>
        <v>222.99999746872766</v>
      </c>
      <c r="AZ122" s="78">
        <f t="shared" si="77"/>
        <v>777.499997468728</v>
      </c>
      <c r="BA122" s="78">
        <f t="shared" si="77"/>
        <v>386.00000000000028</v>
      </c>
      <c r="BB122" s="78">
        <f t="shared" si="77"/>
        <v>45.999999999999979</v>
      </c>
      <c r="BC122" s="78">
        <f t="shared" si="77"/>
        <v>11</v>
      </c>
      <c r="BD122" s="78">
        <f t="shared" si="77"/>
        <v>359.22727272727246</v>
      </c>
      <c r="BE122" s="78">
        <f t="shared" si="77"/>
        <v>6</v>
      </c>
      <c r="BF122" s="78">
        <f t="shared" si="77"/>
        <v>48.80637338028545</v>
      </c>
      <c r="BG122" s="78">
        <f t="shared" si="77"/>
        <v>125.63894086201141</v>
      </c>
      <c r="BH122" s="78">
        <f t="shared" si="77"/>
        <v>334</v>
      </c>
      <c r="BI122" s="78">
        <f t="shared" si="77"/>
        <v>47</v>
      </c>
      <c r="BJ122" s="81"/>
      <c r="BP122" s="78">
        <f t="shared" ref="BP122:BV122" si="78">BP120/BP121</f>
        <v>7.1102364974049923</v>
      </c>
      <c r="BQ122" s="78">
        <f t="shared" si="78"/>
        <v>6.9999999999999991</v>
      </c>
      <c r="BR122" s="78">
        <f t="shared" si="78"/>
        <v>8.9999999999999982</v>
      </c>
      <c r="BS122" s="78">
        <f t="shared" si="78"/>
        <v>3.0000000000000004</v>
      </c>
      <c r="BT122" s="78">
        <f t="shared" si="78"/>
        <v>5</v>
      </c>
      <c r="BU122" s="78">
        <f t="shared" si="78"/>
        <v>2</v>
      </c>
      <c r="BV122" s="78">
        <f t="shared" si="78"/>
        <v>8.9999999999999982</v>
      </c>
      <c r="CA122" s="78">
        <f t="shared" ref="CA122:CB122" si="79">CA120/CA121</f>
        <v>2</v>
      </c>
      <c r="CB122" s="78">
        <f t="shared" si="79"/>
        <v>1</v>
      </c>
      <c r="CD122" s="78">
        <f t="shared" ref="CD122:CJ122" si="80">CD120/CD121</f>
        <v>25.999999999999996</v>
      </c>
      <c r="CE122" s="78">
        <f t="shared" si="80"/>
        <v>1</v>
      </c>
      <c r="CF122" s="78">
        <f t="shared" si="80"/>
        <v>14.637972623907949</v>
      </c>
      <c r="CG122" s="78">
        <f t="shared" si="80"/>
        <v>8</v>
      </c>
      <c r="CH122" s="78">
        <f t="shared" si="80"/>
        <v>5.9999999999999991</v>
      </c>
      <c r="CI122" s="78">
        <f t="shared" si="80"/>
        <v>71</v>
      </c>
      <c r="CJ122" s="78">
        <f t="shared" si="80"/>
        <v>1</v>
      </c>
      <c r="CO122" s="78">
        <f>CO120/CO121</f>
        <v>15</v>
      </c>
      <c r="CT122" s="78">
        <f t="shared" ref="CT122:CV122" si="81">CT120/CT121</f>
        <v>3.9453337389023022</v>
      </c>
      <c r="CU122" s="78">
        <f t="shared" si="81"/>
        <v>12</v>
      </c>
      <c r="CV122" s="78">
        <f t="shared" si="81"/>
        <v>5.7033136252162508</v>
      </c>
      <c r="CX122" s="78">
        <f>CX120/CX121</f>
        <v>3</v>
      </c>
      <c r="EA122" s="81">
        <f>SUMIF(EA3:EA118,"&gt;0",EA3:EA118)</f>
        <v>28954093.818188634</v>
      </c>
      <c r="EH122" s="72"/>
      <c r="EI122" s="109"/>
      <c r="EJ122" s="74"/>
      <c r="EK122" s="72"/>
      <c r="EM122" s="72"/>
      <c r="EN122" s="74"/>
      <c r="EO122" s="74"/>
      <c r="EP122" s="72"/>
      <c r="EQ122" s="72"/>
      <c r="ER122" s="72"/>
      <c r="ES122" s="74"/>
      <c r="ET122" s="74"/>
      <c r="EU122" s="74"/>
      <c r="EV122" s="74"/>
      <c r="EW122" s="89"/>
    </row>
    <row r="123" spans="1:155" x14ac:dyDescent="0.25">
      <c r="B123" s="30" t="s">
        <v>381</v>
      </c>
      <c r="CS123" s="109">
        <f>CS120/E120</f>
        <v>77.88514558938428</v>
      </c>
      <c r="DA123" s="109">
        <f>DA120/E120</f>
        <v>102.3739175649461</v>
      </c>
      <c r="DB123" s="109">
        <f>DB120/E120</f>
        <v>210.00172907087037</v>
      </c>
      <c r="EA123" s="85">
        <f>EA122/DN120</f>
        <v>0.52284964867886319</v>
      </c>
      <c r="EE123" s="89" t="s">
        <v>382</v>
      </c>
      <c r="EH123" s="81">
        <v>8897004.6386778411</v>
      </c>
    </row>
    <row r="124" spans="1:155" x14ac:dyDescent="0.25">
      <c r="DA124" s="109"/>
      <c r="DB124" s="109"/>
      <c r="EA124" s="85"/>
      <c r="EH124" s="81"/>
    </row>
    <row r="125" spans="1:155" x14ac:dyDescent="0.25">
      <c r="B125" s="30" t="s">
        <v>383</v>
      </c>
      <c r="AN125" s="41" t="s">
        <v>384</v>
      </c>
      <c r="AO125" s="72" t="s">
        <v>385</v>
      </c>
      <c r="EE125" s="89" t="s">
        <v>386</v>
      </c>
      <c r="EH125" s="81">
        <f>8793355.65136168-CM118</f>
        <v>8203259.4513616795</v>
      </c>
    </row>
    <row r="126" spans="1:155" x14ac:dyDescent="0.25">
      <c r="B126" s="30" t="s">
        <v>387</v>
      </c>
      <c r="AN126" s="112">
        <f>SUBTOTAL(9,AN23:AP23)/AN$121</f>
        <v>8.8000000000000007</v>
      </c>
      <c r="AO126" s="112">
        <f>SUBTOTAL(9,AN25:AP25)/AO$121</f>
        <v>18.899999999999999</v>
      </c>
      <c r="AP126" s="81"/>
      <c r="EE126" s="89" t="s">
        <v>388</v>
      </c>
      <c r="EH126" s="81">
        <f>EH123-EH125</f>
        <v>693745.18731616158</v>
      </c>
    </row>
    <row r="127" spans="1:155" x14ac:dyDescent="0.25">
      <c r="B127" s="30" t="s">
        <v>389</v>
      </c>
      <c r="AN127" s="113">
        <f>AN126*22</f>
        <v>193.60000000000002</v>
      </c>
      <c r="AO127" s="113">
        <f>AO126*22</f>
        <v>415.79999999999995</v>
      </c>
      <c r="EH127" s="114">
        <f>EH126/EH123</f>
        <v>7.7975140565876691E-2</v>
      </c>
    </row>
    <row r="128" spans="1:155" x14ac:dyDescent="0.25">
      <c r="B128" s="30" t="s">
        <v>390</v>
      </c>
      <c r="AN128" s="113">
        <f>E23-AN127</f>
        <v>563.4</v>
      </c>
      <c r="AO128" s="113">
        <f>E25-AO127</f>
        <v>956.2</v>
      </c>
      <c r="EE128" s="89" t="s">
        <v>391</v>
      </c>
      <c r="EH128" s="81">
        <f>EH123*0.95</f>
        <v>8452154.4067439493</v>
      </c>
    </row>
    <row r="129" spans="2:138" x14ac:dyDescent="0.25">
      <c r="B129" s="30" t="s">
        <v>392</v>
      </c>
      <c r="AN129" s="113">
        <f>AN128/24</f>
        <v>23.474999999999998</v>
      </c>
      <c r="AO129" s="113">
        <f>AO128/24</f>
        <v>39.841666666666669</v>
      </c>
      <c r="EE129" s="89" t="s">
        <v>393</v>
      </c>
      <c r="EH129" s="81">
        <f>EH128+DV118</f>
        <v>9063414.87245588</v>
      </c>
    </row>
    <row r="130" spans="2:138" x14ac:dyDescent="0.25">
      <c r="B130" s="30" t="s">
        <v>394</v>
      </c>
      <c r="AO130" s="113">
        <f>SUM(AQ25:AT25)/AT$121</f>
        <v>39.799999999999997</v>
      </c>
      <c r="EE130" s="89" t="s">
        <v>395</v>
      </c>
      <c r="EH130" s="81">
        <f>EH128-EH125</f>
        <v>248894.95538226981</v>
      </c>
    </row>
    <row r="132" spans="2:138" x14ac:dyDescent="0.25">
      <c r="B132" s="30" t="s">
        <v>396</v>
      </c>
      <c r="DJ132" s="81">
        <f>SUM(I120:K120,N120,AA120:BE120,BM120:BO120,DA120:DB120,)</f>
        <v>534713769.38158292</v>
      </c>
      <c r="DK132" s="81"/>
      <c r="DL132" s="81"/>
      <c r="DM132" s="81"/>
    </row>
    <row r="133" spans="2:138" x14ac:dyDescent="0.25">
      <c r="DJ133" s="86">
        <f>DJ132/DJ120</f>
        <v>0.71371121228483581</v>
      </c>
      <c r="DK133" s="86"/>
      <c r="DL133" s="86"/>
      <c r="DM133" s="86"/>
    </row>
  </sheetData>
  <autoFilter ref="A2:EG123" xr:uid="{C6AB472E-595F-4DB1-9FBA-765819387D6C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A3E0F-EA30-4A32-9BB8-1E4284BBBDE8}">
  <dimension ref="A1:DR132"/>
  <sheetViews>
    <sheetView topLeftCell="A2" zoomScale="80" zoomScaleNormal="80" workbookViewId="0">
      <selection activeCell="CZ16" sqref="CZ16"/>
    </sheetView>
  </sheetViews>
  <sheetFormatPr defaultColWidth="13.85546875" defaultRowHeight="15.75" x14ac:dyDescent="0.25"/>
  <cols>
    <col min="1" max="1" width="10.42578125" style="30" customWidth="1"/>
    <col min="2" max="2" width="30.28515625" style="30" customWidth="1"/>
    <col min="3" max="4" width="8.5703125" style="31" customWidth="1"/>
    <col min="5" max="5" width="11.85546875" style="106" customWidth="1"/>
    <col min="6" max="6" width="8.140625" style="106" customWidth="1"/>
    <col min="7" max="7" width="14" style="81" customWidth="1"/>
    <col min="8" max="8" width="14.140625" style="81" customWidth="1"/>
    <col min="9" max="9" width="15.28515625" style="81" customWidth="1"/>
    <col min="10" max="10" width="13.5703125" style="72" customWidth="1"/>
    <col min="11" max="11" width="13.42578125" style="72" customWidth="1"/>
    <col min="12" max="12" width="13.5703125" style="81" customWidth="1"/>
    <col min="13" max="13" width="14" style="81" customWidth="1"/>
    <col min="14" max="14" width="15.85546875" style="81" customWidth="1"/>
    <col min="15" max="15" width="13.5703125" style="110" customWidth="1"/>
    <col min="16" max="17" width="13" style="72" customWidth="1"/>
    <col min="18" max="19" width="12.5703125" style="81" customWidth="1"/>
    <col min="20" max="20" width="14.140625" style="81" customWidth="1"/>
    <col min="21" max="21" width="13.85546875" style="81" customWidth="1"/>
    <col min="22" max="23" width="12.5703125" style="81" customWidth="1"/>
    <col min="24" max="24" width="13.5703125" style="81" customWidth="1"/>
    <col min="25" max="25" width="14.7109375" style="81" customWidth="1"/>
    <col min="26" max="26" width="14.85546875" style="81" customWidth="1"/>
    <col min="27" max="27" width="17.28515625" style="81" customWidth="1"/>
    <col min="28" max="30" width="15.85546875" style="81" customWidth="1"/>
    <col min="31" max="31" width="14.140625" style="81" customWidth="1"/>
    <col min="32" max="32" width="13.5703125" style="81" customWidth="1"/>
    <col min="33" max="39" width="17.28515625" style="81" customWidth="1"/>
    <col min="40" max="40" width="17" style="72" customWidth="1"/>
    <col min="41" max="41" width="15.85546875" style="72" customWidth="1"/>
    <col min="42" max="42" width="17.28515625" style="110" customWidth="1"/>
    <col min="43" max="43" width="17.28515625" style="72" customWidth="1"/>
    <col min="44" max="44" width="17.28515625" style="81" customWidth="1"/>
    <col min="45" max="48" width="15.85546875" style="72" customWidth="1"/>
    <col min="49" max="49" width="17.28515625" style="72" customWidth="1"/>
    <col min="50" max="50" width="15.85546875" style="81" customWidth="1"/>
    <col min="51" max="53" width="17.28515625" style="81" customWidth="1"/>
    <col min="54" max="54" width="15.85546875" style="81" customWidth="1"/>
    <col min="55" max="55" width="20" style="81" customWidth="1"/>
    <col min="56" max="56" width="17.28515625" style="81" customWidth="1"/>
    <col min="57" max="57" width="13.5703125" style="110" customWidth="1"/>
    <col min="58" max="58" width="15.85546875" style="81" customWidth="1"/>
    <col min="59" max="60" width="15.85546875" style="72" customWidth="1"/>
    <col min="61" max="62" width="13.5703125" style="72" customWidth="1"/>
    <col min="63" max="64" width="15.85546875" style="72" customWidth="1"/>
    <col min="65" max="65" width="19.42578125" style="81" customWidth="1"/>
    <col min="66" max="66" width="13.5703125" style="81" customWidth="1"/>
    <col min="67" max="68" width="15.85546875" style="81" customWidth="1"/>
    <col min="69" max="69" width="13.85546875" style="81"/>
    <col min="70" max="70" width="18.28515625" style="81" customWidth="1"/>
    <col min="71" max="71" width="15.85546875" style="81" customWidth="1"/>
    <col min="72" max="73" width="15.85546875" style="72" customWidth="1"/>
    <col min="74" max="75" width="16.5703125" style="87" customWidth="1"/>
    <col min="76" max="76" width="13.140625" style="87" bestFit="1" customWidth="1"/>
    <col min="77" max="78" width="13.5703125" style="87" customWidth="1"/>
    <col min="79" max="79" width="14.140625" style="87" customWidth="1"/>
    <col min="80" max="80" width="13.5703125" style="87" customWidth="1"/>
    <col min="81" max="81" width="12.42578125" style="87" customWidth="1"/>
    <col min="82" max="82" width="15.85546875" style="87" customWidth="1"/>
    <col min="83" max="83" width="17.28515625" style="111" customWidth="1"/>
    <col min="84" max="84" width="18.140625" style="72" customWidth="1"/>
    <col min="85" max="85" width="13.5703125" style="72" customWidth="1"/>
    <col min="86" max="86" width="16.85546875" style="72" bestFit="1" customWidth="1"/>
    <col min="87" max="88" width="15.85546875" style="81" customWidth="1"/>
    <col min="89" max="89" width="19" style="72" customWidth="1"/>
    <col min="90" max="90" width="17.85546875" style="72" customWidth="1"/>
    <col min="91" max="91" width="17" style="72" bestFit="1" customWidth="1"/>
    <col min="92" max="93" width="15.85546875" style="72" customWidth="1"/>
    <col min="94" max="94" width="21.7109375" style="72" customWidth="1"/>
    <col min="95" max="96" width="15.85546875" style="72" customWidth="1"/>
    <col min="97" max="97" width="18.42578125" style="72" customWidth="1"/>
    <col min="98" max="98" width="13.28515625" style="72" customWidth="1"/>
    <col min="99" max="100" width="13.140625" style="72" customWidth="1"/>
    <col min="101" max="101" width="12.42578125" style="72" customWidth="1"/>
    <col min="102" max="102" width="14" style="72" customWidth="1"/>
    <col min="103" max="103" width="11" style="72" bestFit="1" customWidth="1"/>
    <col min="104" max="104" width="13.5703125" style="72" customWidth="1"/>
    <col min="105" max="105" width="13.42578125" style="72" customWidth="1"/>
    <col min="106" max="106" width="15" style="72" customWidth="1"/>
    <col min="107" max="107" width="15.28515625" style="81" customWidth="1"/>
    <col min="108" max="109" width="13.5703125" style="107" customWidth="1"/>
    <col min="110" max="110" width="12.5703125" style="92" customWidth="1"/>
    <col min="111" max="111" width="12.140625" style="87" customWidth="1"/>
    <col min="112" max="112" width="13.5703125" style="108" customWidth="1"/>
    <col min="113" max="113" width="12" style="87" customWidth="1"/>
    <col min="114" max="117" width="17.140625" style="72" customWidth="1"/>
    <col min="118" max="118" width="9.85546875" style="87" customWidth="1"/>
    <col min="119" max="119" width="8" style="87" customWidth="1"/>
    <col min="120" max="120" width="10.140625" style="87" customWidth="1"/>
    <col min="121" max="121" width="10.5703125" style="87" customWidth="1"/>
    <col min="122" max="122" width="9.5703125" style="87" customWidth="1"/>
    <col min="123" max="16384" width="13.85546875" style="87"/>
  </cols>
  <sheetData>
    <row r="1" spans="1:122" s="41" customFormat="1" ht="59.25" customHeight="1" x14ac:dyDescent="0.25">
      <c r="A1" s="30" t="s">
        <v>285</v>
      </c>
      <c r="B1" s="31" t="s">
        <v>286</v>
      </c>
      <c r="C1" s="31" t="s">
        <v>287</v>
      </c>
      <c r="D1" s="31" t="s">
        <v>3</v>
      </c>
      <c r="E1" s="32" t="s">
        <v>288</v>
      </c>
      <c r="F1" s="32" t="s">
        <v>289</v>
      </c>
      <c r="G1" s="33" t="s">
        <v>290</v>
      </c>
      <c r="H1" s="33" t="s">
        <v>290</v>
      </c>
      <c r="I1" s="33" t="s">
        <v>290</v>
      </c>
      <c r="J1" s="33" t="s">
        <v>290</v>
      </c>
      <c r="K1" s="33" t="s">
        <v>290</v>
      </c>
      <c r="L1" s="33" t="s">
        <v>290</v>
      </c>
      <c r="M1" s="33" t="s">
        <v>290</v>
      </c>
      <c r="N1" s="33" t="s">
        <v>290</v>
      </c>
      <c r="O1" s="33" t="s">
        <v>290</v>
      </c>
      <c r="P1" s="33" t="s">
        <v>290</v>
      </c>
      <c r="Q1" s="34" t="s">
        <v>291</v>
      </c>
      <c r="R1" s="33" t="s">
        <v>290</v>
      </c>
      <c r="S1" s="33" t="s">
        <v>290</v>
      </c>
      <c r="T1" s="33" t="s">
        <v>290</v>
      </c>
      <c r="U1" s="33" t="s">
        <v>290</v>
      </c>
      <c r="V1" s="33" t="s">
        <v>290</v>
      </c>
      <c r="W1" s="33" t="s">
        <v>290</v>
      </c>
      <c r="X1" s="33" t="s">
        <v>290</v>
      </c>
      <c r="Y1" s="33" t="s">
        <v>290</v>
      </c>
      <c r="Z1" s="34" t="s">
        <v>291</v>
      </c>
      <c r="AA1" s="33" t="s">
        <v>290</v>
      </c>
      <c r="AB1" s="33" t="s">
        <v>290</v>
      </c>
      <c r="AC1" s="33" t="s">
        <v>290</v>
      </c>
      <c r="AD1" s="33" t="s">
        <v>290</v>
      </c>
      <c r="AE1" s="33" t="s">
        <v>290</v>
      </c>
      <c r="AF1" s="33" t="s">
        <v>290</v>
      </c>
      <c r="AG1" s="33" t="s">
        <v>290</v>
      </c>
      <c r="AH1" s="33" t="s">
        <v>290</v>
      </c>
      <c r="AI1" s="33" t="s">
        <v>290</v>
      </c>
      <c r="AJ1" s="33" t="s">
        <v>290</v>
      </c>
      <c r="AK1" s="33" t="s">
        <v>290</v>
      </c>
      <c r="AL1" s="33" t="s">
        <v>290</v>
      </c>
      <c r="AM1" s="33" t="s">
        <v>290</v>
      </c>
      <c r="AN1" s="33" t="s">
        <v>290</v>
      </c>
      <c r="AO1" s="33" t="s">
        <v>290</v>
      </c>
      <c r="AP1" s="33" t="s">
        <v>290</v>
      </c>
      <c r="AQ1" s="33" t="s">
        <v>290</v>
      </c>
      <c r="AR1" s="33" t="s">
        <v>290</v>
      </c>
      <c r="AS1" s="33" t="s">
        <v>290</v>
      </c>
      <c r="AT1" s="33" t="s">
        <v>290</v>
      </c>
      <c r="AU1" s="33" t="s">
        <v>290</v>
      </c>
      <c r="AV1" s="33" t="s">
        <v>290</v>
      </c>
      <c r="AW1" s="35" t="s">
        <v>292</v>
      </c>
      <c r="AX1" s="36" t="s">
        <v>293</v>
      </c>
      <c r="AY1" s="36" t="s">
        <v>293</v>
      </c>
      <c r="AZ1" s="36" t="s">
        <v>293</v>
      </c>
      <c r="BA1" s="36" t="s">
        <v>293</v>
      </c>
      <c r="BB1" s="36" t="s">
        <v>293</v>
      </c>
      <c r="BC1" s="36" t="s">
        <v>293</v>
      </c>
      <c r="BD1" s="37" t="s">
        <v>294</v>
      </c>
      <c r="BE1" s="37" t="s">
        <v>294</v>
      </c>
      <c r="BF1" s="37" t="s">
        <v>294</v>
      </c>
      <c r="BG1" s="38" t="s">
        <v>295</v>
      </c>
      <c r="BH1" s="38" t="s">
        <v>295</v>
      </c>
      <c r="BI1" s="38" t="s">
        <v>295</v>
      </c>
      <c r="BJ1" s="33" t="s">
        <v>290</v>
      </c>
      <c r="BK1" s="38" t="s">
        <v>295</v>
      </c>
      <c r="BL1" s="39" t="s">
        <v>296</v>
      </c>
      <c r="BM1" s="39" t="s">
        <v>296</v>
      </c>
      <c r="BN1" s="39" t="s">
        <v>296</v>
      </c>
      <c r="BO1" s="39" t="s">
        <v>296</v>
      </c>
      <c r="BP1" s="40" t="s">
        <v>297</v>
      </c>
      <c r="BQ1" s="40" t="s">
        <v>297</v>
      </c>
      <c r="BR1" s="35" t="s">
        <v>291</v>
      </c>
      <c r="BS1" s="35" t="s">
        <v>291</v>
      </c>
      <c r="BT1" s="35" t="s">
        <v>291</v>
      </c>
      <c r="BU1" s="35" t="s">
        <v>291</v>
      </c>
      <c r="BV1" s="35" t="s">
        <v>291</v>
      </c>
      <c r="BW1" s="35" t="s">
        <v>291</v>
      </c>
      <c r="BX1" s="35" t="s">
        <v>291</v>
      </c>
      <c r="BY1" s="35" t="s">
        <v>291</v>
      </c>
      <c r="BZ1" s="39" t="s">
        <v>296</v>
      </c>
      <c r="CA1" s="35" t="s">
        <v>291</v>
      </c>
      <c r="CB1" s="35" t="s">
        <v>291</v>
      </c>
      <c r="CC1" s="35" t="s">
        <v>291</v>
      </c>
      <c r="CD1" s="41" t="s">
        <v>298</v>
      </c>
      <c r="CE1" s="41" t="s">
        <v>298</v>
      </c>
      <c r="CF1" s="35" t="s">
        <v>291</v>
      </c>
      <c r="CG1" s="35" t="s">
        <v>291</v>
      </c>
      <c r="CH1" s="40" t="s">
        <v>297</v>
      </c>
      <c r="CI1" s="33" t="s">
        <v>290</v>
      </c>
      <c r="CJ1" s="42" t="s">
        <v>291</v>
      </c>
      <c r="CK1" s="33" t="s">
        <v>290</v>
      </c>
      <c r="CL1" s="33" t="s">
        <v>290</v>
      </c>
      <c r="CM1" s="43" t="s">
        <v>290</v>
      </c>
      <c r="CN1" s="33" t="s">
        <v>290</v>
      </c>
      <c r="CO1" s="33" t="s">
        <v>290</v>
      </c>
      <c r="CP1" s="42" t="s">
        <v>291</v>
      </c>
      <c r="CQ1" s="42" t="s">
        <v>291</v>
      </c>
      <c r="CR1" s="42" t="s">
        <v>291</v>
      </c>
      <c r="CS1" s="33" t="s">
        <v>290</v>
      </c>
      <c r="CT1" s="33" t="s">
        <v>290</v>
      </c>
      <c r="CU1" s="42" t="s">
        <v>291</v>
      </c>
      <c r="CV1" s="33" t="s">
        <v>290</v>
      </c>
      <c r="CW1" s="42" t="s">
        <v>291</v>
      </c>
      <c r="CX1" s="40" t="s">
        <v>297</v>
      </c>
      <c r="CY1" s="40" t="s">
        <v>297</v>
      </c>
      <c r="CZ1" s="40" t="s">
        <v>297</v>
      </c>
      <c r="DA1" s="33" t="s">
        <v>290</v>
      </c>
      <c r="DB1" s="33" t="s">
        <v>290</v>
      </c>
      <c r="DC1" s="44" t="s">
        <v>129</v>
      </c>
      <c r="DD1" s="45" t="s">
        <v>128</v>
      </c>
      <c r="DE1" s="33" t="s">
        <v>290</v>
      </c>
      <c r="DF1" s="42" t="s">
        <v>291</v>
      </c>
      <c r="DG1" s="39" t="s">
        <v>296</v>
      </c>
      <c r="DH1" s="46" t="s">
        <v>115</v>
      </c>
      <c r="DN1" s="2" t="s">
        <v>266</v>
      </c>
      <c r="DO1" s="2" t="s">
        <v>267</v>
      </c>
      <c r="DP1" s="2" t="s">
        <v>268</v>
      </c>
      <c r="DQ1" s="2" t="s">
        <v>269</v>
      </c>
      <c r="DR1" s="2" t="s">
        <v>270</v>
      </c>
    </row>
    <row r="2" spans="1:122" s="41" customFormat="1" ht="63" x14ac:dyDescent="0.25">
      <c r="A2" s="48" t="s">
        <v>0</v>
      </c>
      <c r="B2" s="48" t="s">
        <v>1</v>
      </c>
      <c r="C2" s="48" t="s">
        <v>2</v>
      </c>
      <c r="D2" s="48" t="s">
        <v>3</v>
      </c>
      <c r="E2" s="49" t="s">
        <v>299</v>
      </c>
      <c r="F2" s="49" t="s">
        <v>289</v>
      </c>
      <c r="G2" s="50" t="s">
        <v>300</v>
      </c>
      <c r="H2" s="50" t="s">
        <v>301</v>
      </c>
      <c r="I2" s="50" t="s">
        <v>302</v>
      </c>
      <c r="J2" s="51" t="s">
        <v>10</v>
      </c>
      <c r="K2" s="52" t="s">
        <v>11</v>
      </c>
      <c r="L2" s="50" t="s">
        <v>303</v>
      </c>
      <c r="M2" s="50" t="s">
        <v>304</v>
      </c>
      <c r="N2" s="50" t="s">
        <v>305</v>
      </c>
      <c r="O2" s="53" t="s">
        <v>306</v>
      </c>
      <c r="P2" s="51" t="s">
        <v>307</v>
      </c>
      <c r="Q2" s="51" t="s">
        <v>307</v>
      </c>
      <c r="R2" s="50" t="s">
        <v>308</v>
      </c>
      <c r="S2" s="50" t="s">
        <v>309</v>
      </c>
      <c r="T2" s="50" t="s">
        <v>310</v>
      </c>
      <c r="U2" s="50" t="s">
        <v>311</v>
      </c>
      <c r="V2" s="50" t="s">
        <v>22</v>
      </c>
      <c r="W2" s="50" t="s">
        <v>23</v>
      </c>
      <c r="X2" s="50" t="s">
        <v>24</v>
      </c>
      <c r="Y2" s="50" t="s">
        <v>312</v>
      </c>
      <c r="Z2" s="50" t="s">
        <v>312</v>
      </c>
      <c r="AA2" s="50" t="s">
        <v>313</v>
      </c>
      <c r="AB2" s="50" t="s">
        <v>314</v>
      </c>
      <c r="AC2" s="50" t="s">
        <v>315</v>
      </c>
      <c r="AD2" s="50" t="s">
        <v>316</v>
      </c>
      <c r="AE2" s="50" t="s">
        <v>317</v>
      </c>
      <c r="AF2" s="50" t="s">
        <v>318</v>
      </c>
      <c r="AG2" s="50" t="s">
        <v>319</v>
      </c>
      <c r="AH2" s="50" t="s">
        <v>320</v>
      </c>
      <c r="AI2" s="50" t="s">
        <v>35</v>
      </c>
      <c r="AJ2" s="50" t="s">
        <v>36</v>
      </c>
      <c r="AK2" s="50" t="s">
        <v>37</v>
      </c>
      <c r="AL2" s="50" t="s">
        <v>38</v>
      </c>
      <c r="AM2" s="50" t="s">
        <v>39</v>
      </c>
      <c r="AN2" s="50" t="s">
        <v>40</v>
      </c>
      <c r="AO2" s="50" t="s">
        <v>41</v>
      </c>
      <c r="AP2" s="50" t="s">
        <v>42</v>
      </c>
      <c r="AQ2" s="50" t="s">
        <v>43</v>
      </c>
      <c r="AR2" s="50" t="s">
        <v>44</v>
      </c>
      <c r="AS2" s="50" t="s">
        <v>45</v>
      </c>
      <c r="AT2" s="50" t="s">
        <v>46</v>
      </c>
      <c r="AU2" s="51" t="s">
        <v>47</v>
      </c>
      <c r="AV2" s="50" t="s">
        <v>48</v>
      </c>
      <c r="AW2" s="50" t="s">
        <v>48</v>
      </c>
      <c r="AX2" s="50" t="s">
        <v>321</v>
      </c>
      <c r="AY2" s="50" t="s">
        <v>322</v>
      </c>
      <c r="AZ2" s="50" t="s">
        <v>323</v>
      </c>
      <c r="BA2" s="50" t="s">
        <v>324</v>
      </c>
      <c r="BB2" s="50" t="s">
        <v>325</v>
      </c>
      <c r="BC2" s="50" t="s">
        <v>326</v>
      </c>
      <c r="BD2" s="50" t="s">
        <v>327</v>
      </c>
      <c r="BE2" s="53" t="s">
        <v>328</v>
      </c>
      <c r="BF2" s="50" t="s">
        <v>329</v>
      </c>
      <c r="BG2" s="50" t="s">
        <v>330</v>
      </c>
      <c r="BH2" s="50" t="s">
        <v>331</v>
      </c>
      <c r="BI2" s="50" t="s">
        <v>332</v>
      </c>
      <c r="BJ2" s="50" t="s">
        <v>333</v>
      </c>
      <c r="BK2" s="50" t="s">
        <v>333</v>
      </c>
      <c r="BL2" s="50" t="s">
        <v>334</v>
      </c>
      <c r="BM2" s="50" t="s">
        <v>65</v>
      </c>
      <c r="BN2" s="50" t="s">
        <v>66</v>
      </c>
      <c r="BO2" s="50" t="s">
        <v>67</v>
      </c>
      <c r="BP2" s="50" t="s">
        <v>68</v>
      </c>
      <c r="BQ2" s="50" t="s">
        <v>69</v>
      </c>
      <c r="BR2" s="50" t="s">
        <v>70</v>
      </c>
      <c r="BS2" s="50" t="s">
        <v>335</v>
      </c>
      <c r="BT2" s="50" t="s">
        <v>336</v>
      </c>
      <c r="BU2" s="50" t="s">
        <v>73</v>
      </c>
      <c r="BV2" s="51" t="s">
        <v>337</v>
      </c>
      <c r="BW2" s="51" t="s">
        <v>75</v>
      </c>
      <c r="BX2" s="51" t="s">
        <v>264</v>
      </c>
      <c r="BY2" s="51" t="s">
        <v>77</v>
      </c>
      <c r="BZ2" s="51" t="s">
        <v>78</v>
      </c>
      <c r="CA2" s="51" t="s">
        <v>338</v>
      </c>
      <c r="CB2" s="51" t="s">
        <v>339</v>
      </c>
      <c r="CC2" s="51" t="s">
        <v>340</v>
      </c>
      <c r="CD2" s="51" t="s">
        <v>341</v>
      </c>
      <c r="CE2" s="50" t="s">
        <v>83</v>
      </c>
      <c r="CF2" s="50" t="s">
        <v>84</v>
      </c>
      <c r="CG2" s="50" t="s">
        <v>85</v>
      </c>
      <c r="CH2" s="50" t="s">
        <v>87</v>
      </c>
      <c r="CI2" s="50" t="s">
        <v>88</v>
      </c>
      <c r="CJ2" s="50" t="s">
        <v>88</v>
      </c>
      <c r="CK2" s="50" t="s">
        <v>342</v>
      </c>
      <c r="CL2" s="50" t="s">
        <v>343</v>
      </c>
      <c r="CM2" s="50" t="s">
        <v>344</v>
      </c>
      <c r="CN2" s="54" t="s">
        <v>345</v>
      </c>
      <c r="CO2" s="50" t="s">
        <v>94</v>
      </c>
      <c r="CP2" s="50" t="s">
        <v>346</v>
      </c>
      <c r="CQ2" s="54" t="s">
        <v>96</v>
      </c>
      <c r="CR2" s="54" t="s">
        <v>97</v>
      </c>
      <c r="CS2" s="51" t="s">
        <v>98</v>
      </c>
      <c r="CT2" s="51" t="s">
        <v>99</v>
      </c>
      <c r="CU2" s="51" t="s">
        <v>99</v>
      </c>
      <c r="CV2" s="51" t="s">
        <v>101</v>
      </c>
      <c r="CW2" s="51" t="s">
        <v>101</v>
      </c>
      <c r="CX2" s="51" t="s">
        <v>102</v>
      </c>
      <c r="CY2" s="51" t="s">
        <v>103</v>
      </c>
      <c r="CZ2" s="51" t="s">
        <v>104</v>
      </c>
      <c r="DA2" s="51" t="s">
        <v>105</v>
      </c>
      <c r="DB2" s="55" t="s">
        <v>106</v>
      </c>
      <c r="DC2" s="50" t="s">
        <v>107</v>
      </c>
      <c r="DD2" s="54" t="s">
        <v>108</v>
      </c>
      <c r="DE2" s="54" t="s">
        <v>113</v>
      </c>
      <c r="DF2" s="54" t="s">
        <v>113</v>
      </c>
      <c r="DG2" s="51" t="s">
        <v>347</v>
      </c>
      <c r="DH2" s="50" t="s">
        <v>115</v>
      </c>
      <c r="DI2" s="56" t="s">
        <v>348</v>
      </c>
      <c r="DJ2" s="57" t="s">
        <v>349</v>
      </c>
      <c r="DK2" s="58" t="s">
        <v>350</v>
      </c>
      <c r="DL2" s="58" t="s">
        <v>351</v>
      </c>
      <c r="DM2" s="58" t="s">
        <v>352</v>
      </c>
      <c r="DN2" s="2" t="s">
        <v>266</v>
      </c>
      <c r="DO2" s="2" t="s">
        <v>267</v>
      </c>
      <c r="DP2" s="2" t="s">
        <v>268</v>
      </c>
      <c r="DQ2" s="2" t="s">
        <v>269</v>
      </c>
      <c r="DR2" s="2" t="s">
        <v>270</v>
      </c>
    </row>
    <row r="3" spans="1:122" x14ac:dyDescent="0.25">
      <c r="A3" s="76">
        <v>202</v>
      </c>
      <c r="B3" s="76" t="s">
        <v>134</v>
      </c>
      <c r="C3" s="77" t="s">
        <v>135</v>
      </c>
      <c r="D3" s="41">
        <v>7</v>
      </c>
      <c r="E3" s="78">
        <v>244</v>
      </c>
      <c r="F3" s="78">
        <v>222.02281368821292</v>
      </c>
      <c r="G3" s="115">
        <f>'[8]FY20 Initial Budget Allocat (2)'!G3/'FY20 Initial Budget Allocat FTE'!G$121</f>
        <v>1</v>
      </c>
      <c r="H3" s="115">
        <f>'[8]FY20 Initial Budget Allocat (2)'!H3/'FY20 Initial Budget Allocat FTE'!H$121</f>
        <v>1</v>
      </c>
      <c r="I3" s="115">
        <f>'[8]FY20 Initial Budget Allocat (2)'!I3/'FY20 Initial Budget Allocat FTE'!I$121</f>
        <v>0</v>
      </c>
      <c r="J3" s="115">
        <f>'[8]FY20 Initial Budget Allocat (2)'!J3/'FY20 Initial Budget Allocat FTE'!J$121</f>
        <v>0</v>
      </c>
      <c r="K3" s="115">
        <f>'[8]FY20 Initial Budget Allocat (2)'!K3/'FY20 Initial Budget Allocat FTE'!K$121</f>
        <v>0</v>
      </c>
      <c r="L3" s="115">
        <f>'[8]FY20 Initial Budget Allocat (2)'!L3/'FY20 Initial Budget Allocat FTE'!L$121</f>
        <v>0.5</v>
      </c>
      <c r="M3" s="115">
        <f>'[8]FY20 Initial Budget Allocat (2)'!M3/'FY20 Initial Budget Allocat FTE'!M$121</f>
        <v>1</v>
      </c>
      <c r="N3" s="115">
        <f>'[8]FY20 Initial Budget Allocat (2)'!N3/'FY20 Initial Budget Allocat FTE'!N$121</f>
        <v>0</v>
      </c>
      <c r="O3" s="115">
        <f>'[8]FY20 Initial Budget Allocat (2)'!O3/'FY20 Initial Budget Allocat FTE'!O$121</f>
        <v>0</v>
      </c>
      <c r="P3" s="115">
        <f>'[8]FY20 Initial Budget Allocat (2)'!P3/'FY20 Initial Budget Allocat FTE'!P$121</f>
        <v>0</v>
      </c>
      <c r="Q3" s="115">
        <f>'[8]FY20 Initial Budget Allocat (2)'!Q3/'FY20 Initial Budget Allocat FTE'!Q$121</f>
        <v>0</v>
      </c>
      <c r="R3" s="115">
        <f>'[8]FY20 Initial Budget Allocat (2)'!R3/'FY20 Initial Budget Allocat FTE'!R$121</f>
        <v>1</v>
      </c>
      <c r="S3" s="115">
        <f>'[8]FY20 Initial Budget Allocat (2)'!S3/'FY20 Initial Budget Allocat FTE'!S$121</f>
        <v>1</v>
      </c>
      <c r="T3" s="115">
        <f>'[8]FY20 Initial Budget Allocat (2)'!T3/'FY20 Initial Budget Allocat FTE'!T$121</f>
        <v>1</v>
      </c>
      <c r="U3" s="115">
        <f>'[8]FY20 Initial Budget Allocat (2)'!U3/'FY20 Initial Budget Allocat FTE'!U$121</f>
        <v>0.5</v>
      </c>
      <c r="V3" s="115">
        <f>'[8]FY20 Initial Budget Allocat (2)'!V3/'FY20 Initial Budget Allocat FTE'!V$121</f>
        <v>1</v>
      </c>
      <c r="W3" s="115">
        <f>'[8]FY20 Initial Budget Allocat (2)'!W3/'FY20 Initial Budget Allocat FTE'!W$121</f>
        <v>1</v>
      </c>
      <c r="X3" s="115">
        <f>'[8]FY20 Initial Budget Allocat (2)'!X3/'FY20 Initial Budget Allocat FTE'!X$121</f>
        <v>1</v>
      </c>
      <c r="Y3" s="115">
        <f>'[8]FY20 Initial Budget Allocat (2)'!Y3/'FY20 Initial Budget Allocat FTE'!Y$121</f>
        <v>0</v>
      </c>
      <c r="Z3" s="115">
        <f>'[8]FY20 Initial Budget Allocat (2)'!Z3/'FY20 Initial Budget Allocat FTE'!Z$121</f>
        <v>0</v>
      </c>
      <c r="AA3" s="115">
        <f>'[8]FY20 Initial Budget Allocat (2)'!AA3/'FY20 Initial Budget Allocat FTE'!AA$121</f>
        <v>2</v>
      </c>
      <c r="AB3" s="115">
        <f>'[8]FY20 Initial Budget Allocat (2)'!AB3/'FY20 Initial Budget Allocat FTE'!AB$121</f>
        <v>2</v>
      </c>
      <c r="AC3" s="115">
        <f>'[8]FY20 Initial Budget Allocat (2)'!AC3/'FY20 Initial Budget Allocat FTE'!AC$121</f>
        <v>1</v>
      </c>
      <c r="AD3" s="115">
        <f>'[8]FY20 Initial Budget Allocat (2)'!AD3/'FY20 Initial Budget Allocat FTE'!AD$121</f>
        <v>1</v>
      </c>
      <c r="AE3" s="115">
        <f>'[8]FY20 Initial Budget Allocat (2)'!AE3/'FY20 Initial Budget Allocat FTE'!AE$121</f>
        <v>2</v>
      </c>
      <c r="AF3" s="115">
        <f>'[8]FY20 Initial Budget Allocat (2)'!AF3/'FY20 Initial Budget Allocat FTE'!AF$121</f>
        <v>2</v>
      </c>
      <c r="AG3" s="115">
        <f>'[8]FY20 Initial Budget Allocat (2)'!AG3/'FY20 Initial Budget Allocat FTE'!AG$121</f>
        <v>2</v>
      </c>
      <c r="AH3" s="115">
        <f>'[8]FY20 Initial Budget Allocat (2)'!AH3/'FY20 Initial Budget Allocat FTE'!AH$121</f>
        <v>2</v>
      </c>
      <c r="AI3" s="115">
        <f>'[8]FY20 Initial Budget Allocat (2)'!AI3/'FY20 Initial Budget Allocat FTE'!AI$121</f>
        <v>2</v>
      </c>
      <c r="AJ3" s="115">
        <f>'[8]FY20 Initial Budget Allocat (2)'!AJ3/'FY20 Initial Budget Allocat FTE'!AJ$121</f>
        <v>1</v>
      </c>
      <c r="AK3" s="115">
        <f>'[8]FY20 Initial Budget Allocat (2)'!AK3/'FY20 Initial Budget Allocat FTE'!AK$121</f>
        <v>1</v>
      </c>
      <c r="AL3" s="115">
        <f>'[8]FY20 Initial Budget Allocat (2)'!AL3/'FY20 Initial Budget Allocat FTE'!AL$121</f>
        <v>1</v>
      </c>
      <c r="AM3" s="115">
        <f>'[8]FY20 Initial Budget Allocat (2)'!AM3/'FY20 Initial Budget Allocat FTE'!AM$121</f>
        <v>1</v>
      </c>
      <c r="AN3" s="115">
        <f>'[8]FY20 Initial Budget Allocat (2)'!AN3/'FY20 Initial Budget Allocat FTE'!AN$121</f>
        <v>0</v>
      </c>
      <c r="AO3" s="115">
        <f>'[8]FY20 Initial Budget Allocat (2)'!AO3/'FY20 Initial Budget Allocat FTE'!AO$121</f>
        <v>0</v>
      </c>
      <c r="AP3" s="115">
        <f>'[8]FY20 Initial Budget Allocat (2)'!AP3/'FY20 Initial Budget Allocat FTE'!AP$121</f>
        <v>0</v>
      </c>
      <c r="AQ3" s="115">
        <f>'[8]FY20 Initial Budget Allocat (2)'!AQ3/'FY20 Initial Budget Allocat FTE'!AQ$121</f>
        <v>0</v>
      </c>
      <c r="AR3" s="115">
        <f>'[8]FY20 Initial Budget Allocat (2)'!AR3/'FY20 Initial Budget Allocat FTE'!AR$121</f>
        <v>0</v>
      </c>
      <c r="AS3" s="115">
        <f>'[8]FY20 Initial Budget Allocat (2)'!AS3/'FY20 Initial Budget Allocat FTE'!AS$121</f>
        <v>0</v>
      </c>
      <c r="AT3" s="115">
        <f>'[8]FY20 Initial Budget Allocat (2)'!AT3/'FY20 Initial Budget Allocat FTE'!AT$121</f>
        <v>0</v>
      </c>
      <c r="AU3" s="115">
        <f>'[8]FY20 Initial Budget Allocat (2)'!AU3/'FY20 Initial Budget Allocat FTE'!AU$121</f>
        <v>0</v>
      </c>
      <c r="AV3" s="115">
        <f>'[8]FY20 Initial Budget Allocat (2)'!AV3/'FY20 Initial Budget Allocat FTE'!AV$121</f>
        <v>0</v>
      </c>
      <c r="AW3" s="115">
        <f>'[8]FY20 Initial Budget Allocat (2)'!AW3/'FY20 Initial Budget Allocat FTE'!AW$121</f>
        <v>0</v>
      </c>
      <c r="AX3" s="115">
        <f>'[8]FY20 Initial Budget Allocat (2)'!AX3/'FY20 Initial Budget Allocat FTE'!AX$121</f>
        <v>1</v>
      </c>
      <c r="AY3" s="115">
        <f>'[8]FY20 Initial Budget Allocat (2)'!AY3/'FY20 Initial Budget Allocat FTE'!AY$121</f>
        <v>1</v>
      </c>
      <c r="AZ3" s="115">
        <f>'[8]FY20 Initial Budget Allocat (2)'!AZ3/'FY20 Initial Budget Allocat FTE'!AZ$121</f>
        <v>5</v>
      </c>
      <c r="BA3" s="115">
        <f>'[8]FY20 Initial Budget Allocat (2)'!BA3/'FY20 Initial Budget Allocat FTE'!BA$121</f>
        <v>2</v>
      </c>
      <c r="BB3" s="115">
        <f>'[8]FY20 Initial Budget Allocat (2)'!BB3/'FY20 Initial Budget Allocat FTE'!BB$121</f>
        <v>0</v>
      </c>
      <c r="BC3" s="115">
        <f>'[8]FY20 Initial Budget Allocat (2)'!BC3/'FY20 Initial Budget Allocat FTE'!BC$121</f>
        <v>0</v>
      </c>
      <c r="BD3" s="115">
        <f>'[8]FY20 Initial Budget Allocat (2)'!BD3/'FY20 Initial Budget Allocat FTE'!BD$121</f>
        <v>9.0909090909090912E-2</v>
      </c>
      <c r="BE3" s="115">
        <f>'[8]FY20 Initial Budget Allocat (2)'!BE3/'FY20 Initial Budget Allocat FTE'!BE$121</f>
        <v>0</v>
      </c>
      <c r="BF3" s="115">
        <f>'[8]FY20 Initial Budget Allocat (2)'!BF3/'FY20 Initial Budget Allocat FTE'!BF$121</f>
        <v>0</v>
      </c>
      <c r="BG3" s="115">
        <f>'[8]FY20 Initial Budget Allocat (2)'!BG3/'FY20 Initial Budget Allocat FTE'!BG$121</f>
        <v>1.062629468760441</v>
      </c>
      <c r="BH3" s="115">
        <f>'[8]FY20 Initial Budget Allocat (2)'!BH3/'FY20 Initial Budget Allocat FTE'!BH$121</f>
        <v>3</v>
      </c>
      <c r="BI3" s="115">
        <f>'[8]FY20 Initial Budget Allocat (2)'!BI3/'FY20 Initial Budget Allocat FTE'!BI$121</f>
        <v>1</v>
      </c>
      <c r="BJ3" s="79"/>
      <c r="BK3" s="79">
        <v>0</v>
      </c>
      <c r="BL3" s="79">
        <v>11597.1</v>
      </c>
      <c r="BM3" s="79">
        <v>113142.61</v>
      </c>
      <c r="BN3" s="79">
        <v>1800.39</v>
      </c>
      <c r="BO3" s="79">
        <v>0</v>
      </c>
      <c r="BP3" s="115">
        <f>'[8]FY20 Initial Budget Allocat (2)'!BP3/'FY20 Initial Budget Allocat FTE'!BP$121</f>
        <v>0</v>
      </c>
      <c r="BQ3" s="115">
        <f>'[8]FY20 Initial Budget Allocat (2)'!BQ3/'FY20 Initial Budget Allocat FTE'!BQ$121</f>
        <v>0</v>
      </c>
      <c r="BR3" s="115">
        <f>'[8]FY20 Initial Budget Allocat (2)'!BR3/'FY20 Initial Budget Allocat FTE'!BR$121</f>
        <v>0</v>
      </c>
      <c r="BS3" s="115">
        <f>'[8]FY20 Initial Budget Allocat (2)'!BS3/'FY20 Initial Budget Allocat FTE'!BS$121</f>
        <v>0</v>
      </c>
      <c r="BT3" s="115">
        <f>'[8]FY20 Initial Budget Allocat (2)'!BT3/'FY20 Initial Budget Allocat FTE'!BT$121</f>
        <v>0</v>
      </c>
      <c r="BU3" s="115">
        <f>'[8]FY20 Initial Budget Allocat (2)'!BU3/'FY20 Initial Budget Allocat FTE'!BU$121</f>
        <v>0</v>
      </c>
      <c r="BV3" s="115">
        <f>'[8]FY20 Initial Budget Allocat (2)'!BV3/'FY20 Initial Budget Allocat FTE'!BV$121</f>
        <v>0</v>
      </c>
      <c r="BW3" s="80">
        <v>0</v>
      </c>
      <c r="BX3" s="80">
        <v>0</v>
      </c>
      <c r="BY3" s="80">
        <v>0</v>
      </c>
      <c r="BZ3" s="80">
        <v>0</v>
      </c>
      <c r="CA3" s="115">
        <f>'[8]FY20 Initial Budget Allocat (2)'!CA3/'FY20 Initial Budget Allocat FTE'!CA$121</f>
        <v>0</v>
      </c>
      <c r="CB3" s="115">
        <f>'[8]FY20 Initial Budget Allocat (2)'!CB3/'FY20 Initial Budget Allocat FTE'!CB$121</f>
        <v>0</v>
      </c>
      <c r="CC3" s="80">
        <v>0</v>
      </c>
      <c r="CD3" s="115">
        <f>'[8]FY20 Initial Budget Allocat (2)'!CD3/'FY20 Initial Budget Allocat FTE'!CD$121</f>
        <v>0</v>
      </c>
      <c r="CE3" s="115">
        <f>'[8]FY20 Initial Budget Allocat (2)'!CE3/'FY20 Initial Budget Allocat FTE'!CE$121</f>
        <v>0</v>
      </c>
      <c r="CF3" s="115">
        <f>'[8]FY20 Initial Budget Allocat (2)'!CF3/'FY20 Initial Budget Allocat FTE'!CF$121</f>
        <v>0</v>
      </c>
      <c r="CG3" s="115">
        <f>'[8]FY20 Initial Budget Allocat (2)'!CG3/'FY20 Initial Budget Allocat FTE'!CG$121</f>
        <v>0</v>
      </c>
      <c r="CH3" s="115">
        <f>'[8]FY20 Initial Budget Allocat (2)'!CH3/'FY20 Initial Budget Allocat FTE'!CH$121</f>
        <v>0</v>
      </c>
      <c r="CI3" s="115">
        <f>'[8]FY20 Initial Budget Allocat (2)'!CI3/'FY20 Initial Budget Allocat FTE'!CI$121</f>
        <v>0</v>
      </c>
      <c r="CJ3" s="115">
        <f>'[8]FY20 Initial Budget Allocat (2)'!CJ3/'FY20 Initial Budget Allocat FTE'!CJ$121</f>
        <v>0</v>
      </c>
      <c r="CK3" s="79">
        <v>0</v>
      </c>
      <c r="CL3" s="79">
        <v>0</v>
      </c>
      <c r="CM3" s="79">
        <v>54082.8</v>
      </c>
      <c r="CN3" s="79">
        <v>0</v>
      </c>
      <c r="CO3" s="115">
        <f>'[8]FY20 Initial Budget Allocat (2)'!CO3/'FY20 Initial Budget Allocat FTE'!CO$121</f>
        <v>0</v>
      </c>
      <c r="CP3" s="79">
        <v>0</v>
      </c>
      <c r="CQ3" s="79">
        <v>8880.9125475285164</v>
      </c>
      <c r="CR3" s="79">
        <v>0</v>
      </c>
      <c r="CS3" s="79">
        <v>14158.06334841629</v>
      </c>
      <c r="CT3" s="115">
        <f>'[8]FY20 Initial Budget Allocat (2)'!CT3/'FY20 Initial Budget Allocat FTE'!CT$121</f>
        <v>0</v>
      </c>
      <c r="CU3" s="115">
        <f>'[8]FY20 Initial Budget Allocat (2)'!CU3/'FY20 Initial Budget Allocat FTE'!CU$121</f>
        <v>0</v>
      </c>
      <c r="CV3" s="79"/>
      <c r="CW3" s="79">
        <v>0</v>
      </c>
      <c r="CX3" s="115">
        <f>'[8]FY20 Initial Budget Allocat (2)'!CX3/'FY20 Initial Budget Allocat FTE'!CX$121</f>
        <v>0</v>
      </c>
      <c r="CY3" s="79">
        <v>0</v>
      </c>
      <c r="CZ3" s="79">
        <v>0</v>
      </c>
      <c r="DA3" s="79">
        <v>24400</v>
      </c>
      <c r="DB3" s="79">
        <v>55369.386043339262</v>
      </c>
      <c r="DC3" s="82">
        <v>0</v>
      </c>
      <c r="DD3" s="79">
        <v>15363.214285714286</v>
      </c>
      <c r="DE3" s="79"/>
      <c r="DF3" s="79">
        <v>15000</v>
      </c>
      <c r="DG3" s="79">
        <v>0</v>
      </c>
      <c r="DH3" s="83">
        <v>0</v>
      </c>
      <c r="DI3" s="79">
        <v>15503.351135465262</v>
      </c>
      <c r="DJ3" s="79">
        <v>3782817.6770535237</v>
      </c>
      <c r="DK3" s="84">
        <v>36108.152946476359</v>
      </c>
      <c r="DL3" s="84">
        <v>0</v>
      </c>
      <c r="DM3" s="84">
        <f>SUM(DJ3:DL3)</f>
        <v>3818925.83</v>
      </c>
      <c r="DN3" s="116">
        <f>SUM(AA3,AC3,AE3,AG3,)</f>
        <v>7</v>
      </c>
      <c r="DO3" s="116">
        <f>SUM(AB3,AD3,AF3,AH3)</f>
        <v>7</v>
      </c>
      <c r="DP3" s="116">
        <f>SUM(AI3:AW3)</f>
        <v>6</v>
      </c>
      <c r="DQ3" s="116">
        <f>SUM(AX3:AZ3,BD3,BF3)</f>
        <v>7.0909090909090908</v>
      </c>
      <c r="DR3" s="116">
        <f>SUM(BA3,BE3)</f>
        <v>2</v>
      </c>
    </row>
    <row r="4" spans="1:122" x14ac:dyDescent="0.25">
      <c r="A4" s="76">
        <v>203</v>
      </c>
      <c r="B4" s="76" t="s">
        <v>136</v>
      </c>
      <c r="C4" s="77" t="s">
        <v>135</v>
      </c>
      <c r="D4" s="41">
        <v>6</v>
      </c>
      <c r="E4" s="78">
        <v>342</v>
      </c>
      <c r="F4" s="78">
        <v>253.35446685878964</v>
      </c>
      <c r="G4" s="115">
        <f>'[8]FY20 Initial Budget Allocat (2)'!G4/'FY20 Initial Budget Allocat FTE'!G$121</f>
        <v>1</v>
      </c>
      <c r="H4" s="115">
        <f>'[8]FY20 Initial Budget Allocat (2)'!H4/'FY20 Initial Budget Allocat FTE'!H$121</f>
        <v>1</v>
      </c>
      <c r="I4" s="115">
        <f>'[8]FY20 Initial Budget Allocat (2)'!I4/'FY20 Initial Budget Allocat FTE'!I$121</f>
        <v>0.9</v>
      </c>
      <c r="J4" s="115">
        <f>'[8]FY20 Initial Budget Allocat (2)'!J4/'FY20 Initial Budget Allocat FTE'!J$121</f>
        <v>0</v>
      </c>
      <c r="K4" s="115">
        <f>'[8]FY20 Initial Budget Allocat (2)'!K4/'FY20 Initial Budget Allocat FTE'!K$121</f>
        <v>0</v>
      </c>
      <c r="L4" s="115">
        <f>'[8]FY20 Initial Budget Allocat (2)'!L4/'FY20 Initial Budget Allocat FTE'!L$121</f>
        <v>1</v>
      </c>
      <c r="M4" s="115">
        <f>'[8]FY20 Initial Budget Allocat (2)'!M4/'FY20 Initial Budget Allocat FTE'!M$121</f>
        <v>1</v>
      </c>
      <c r="N4" s="115">
        <f>'[8]FY20 Initial Budget Allocat (2)'!N4/'FY20 Initial Budget Allocat FTE'!N$121</f>
        <v>0</v>
      </c>
      <c r="O4" s="115">
        <f>'[8]FY20 Initial Budget Allocat (2)'!O4/'FY20 Initial Budget Allocat FTE'!O$121</f>
        <v>0</v>
      </c>
      <c r="P4" s="115">
        <f>'[8]FY20 Initial Budget Allocat (2)'!P4/'FY20 Initial Budget Allocat FTE'!P$121</f>
        <v>0</v>
      </c>
      <c r="Q4" s="115">
        <f>'[8]FY20 Initial Budget Allocat (2)'!Q4/'FY20 Initial Budget Allocat FTE'!Q$121</f>
        <v>0</v>
      </c>
      <c r="R4" s="115">
        <f>'[8]FY20 Initial Budget Allocat (2)'!R4/'FY20 Initial Budget Allocat FTE'!R$121</f>
        <v>1</v>
      </c>
      <c r="S4" s="115">
        <f>'[8]FY20 Initial Budget Allocat (2)'!S4/'FY20 Initial Budget Allocat FTE'!S$121</f>
        <v>1</v>
      </c>
      <c r="T4" s="115">
        <f>'[8]FY20 Initial Budget Allocat (2)'!T4/'FY20 Initial Budget Allocat FTE'!T$121</f>
        <v>2</v>
      </c>
      <c r="U4" s="115">
        <f>'[8]FY20 Initial Budget Allocat (2)'!U4/'FY20 Initial Budget Allocat FTE'!U$121</f>
        <v>1</v>
      </c>
      <c r="V4" s="115">
        <f>'[8]FY20 Initial Budget Allocat (2)'!V4/'FY20 Initial Budget Allocat FTE'!V$121</f>
        <v>1</v>
      </c>
      <c r="W4" s="115">
        <f>'[8]FY20 Initial Budget Allocat (2)'!W4/'FY20 Initial Budget Allocat FTE'!W$121</f>
        <v>1</v>
      </c>
      <c r="X4" s="115">
        <f>'[8]FY20 Initial Budget Allocat (2)'!X4/'FY20 Initial Budget Allocat FTE'!X$121</f>
        <v>1</v>
      </c>
      <c r="Y4" s="115">
        <f>'[8]FY20 Initial Budget Allocat (2)'!Y4/'FY20 Initial Budget Allocat FTE'!Y$121</f>
        <v>0</v>
      </c>
      <c r="Z4" s="115">
        <f>'[8]FY20 Initial Budget Allocat (2)'!Z4/'FY20 Initial Budget Allocat FTE'!Z$121</f>
        <v>0</v>
      </c>
      <c r="AA4" s="115">
        <f>'[8]FY20 Initial Budget Allocat (2)'!AA4/'FY20 Initial Budget Allocat FTE'!AA$121</f>
        <v>1</v>
      </c>
      <c r="AB4" s="115">
        <f>'[8]FY20 Initial Budget Allocat (2)'!AB4/'FY20 Initial Budget Allocat FTE'!AB$121</f>
        <v>1</v>
      </c>
      <c r="AC4" s="115">
        <f>'[8]FY20 Initial Budget Allocat (2)'!AC4/'FY20 Initial Budget Allocat FTE'!AC$121</f>
        <v>3.0000000000000004</v>
      </c>
      <c r="AD4" s="115">
        <f>'[8]FY20 Initial Budget Allocat (2)'!AD4/'FY20 Initial Budget Allocat FTE'!AD$121</f>
        <v>4</v>
      </c>
      <c r="AE4" s="115">
        <f>'[8]FY20 Initial Budget Allocat (2)'!AE4/'FY20 Initial Budget Allocat FTE'!AE$121</f>
        <v>1</v>
      </c>
      <c r="AF4" s="115">
        <f>'[8]FY20 Initial Budget Allocat (2)'!AF4/'FY20 Initial Budget Allocat FTE'!AF$121</f>
        <v>1</v>
      </c>
      <c r="AG4" s="115">
        <f>'[8]FY20 Initial Budget Allocat (2)'!AG4/'FY20 Initial Budget Allocat FTE'!AG$121</f>
        <v>2</v>
      </c>
      <c r="AH4" s="115">
        <f>'[8]FY20 Initial Budget Allocat (2)'!AH4/'FY20 Initial Budget Allocat FTE'!AH$121</f>
        <v>2</v>
      </c>
      <c r="AI4" s="115">
        <f>'[8]FY20 Initial Budget Allocat (2)'!AI4/'FY20 Initial Budget Allocat FTE'!AI$121</f>
        <v>2</v>
      </c>
      <c r="AJ4" s="115">
        <f>'[8]FY20 Initial Budget Allocat (2)'!AJ4/'FY20 Initial Budget Allocat FTE'!AJ$121</f>
        <v>2</v>
      </c>
      <c r="AK4" s="115">
        <f>'[8]FY20 Initial Budget Allocat (2)'!AK4/'FY20 Initial Budget Allocat FTE'!AK$121</f>
        <v>2</v>
      </c>
      <c r="AL4" s="115">
        <f>'[8]FY20 Initial Budget Allocat (2)'!AL4/'FY20 Initial Budget Allocat FTE'!AL$121</f>
        <v>2</v>
      </c>
      <c r="AM4" s="115">
        <f>'[8]FY20 Initial Budget Allocat (2)'!AM4/'FY20 Initial Budget Allocat FTE'!AM$121</f>
        <v>3.0000000000000004</v>
      </c>
      <c r="AN4" s="115">
        <f>'[8]FY20 Initial Budget Allocat (2)'!AN4/'FY20 Initial Budget Allocat FTE'!AN$121</f>
        <v>0</v>
      </c>
      <c r="AO4" s="115">
        <f>'[8]FY20 Initial Budget Allocat (2)'!AO4/'FY20 Initial Budget Allocat FTE'!AO$121</f>
        <v>0</v>
      </c>
      <c r="AP4" s="115">
        <f>'[8]FY20 Initial Budget Allocat (2)'!AP4/'FY20 Initial Budget Allocat FTE'!AP$121</f>
        <v>0</v>
      </c>
      <c r="AQ4" s="115">
        <f>'[8]FY20 Initial Budget Allocat (2)'!AQ4/'FY20 Initial Budget Allocat FTE'!AQ$121</f>
        <v>0</v>
      </c>
      <c r="AR4" s="115">
        <f>'[8]FY20 Initial Budget Allocat (2)'!AR4/'FY20 Initial Budget Allocat FTE'!AR$121</f>
        <v>0</v>
      </c>
      <c r="AS4" s="115">
        <f>'[8]FY20 Initial Budget Allocat (2)'!AS4/'FY20 Initial Budget Allocat FTE'!AS$121</f>
        <v>0</v>
      </c>
      <c r="AT4" s="115">
        <f>'[8]FY20 Initial Budget Allocat (2)'!AT4/'FY20 Initial Budget Allocat FTE'!AT$121</f>
        <v>0</v>
      </c>
      <c r="AU4" s="115">
        <f>'[8]FY20 Initial Budget Allocat (2)'!AU4/'FY20 Initial Budget Allocat FTE'!AU$121</f>
        <v>0</v>
      </c>
      <c r="AV4" s="115">
        <f>'[8]FY20 Initial Budget Allocat (2)'!AV4/'FY20 Initial Budget Allocat FTE'!AV$121</f>
        <v>0</v>
      </c>
      <c r="AW4" s="115">
        <f>'[8]FY20 Initial Budget Allocat (2)'!AW4/'FY20 Initial Budget Allocat FTE'!AW$121</f>
        <v>0</v>
      </c>
      <c r="AX4" s="115">
        <f>'[8]FY20 Initial Budget Allocat (2)'!AX4/'FY20 Initial Budget Allocat FTE'!AX$121</f>
        <v>1</v>
      </c>
      <c r="AY4" s="115">
        <f>'[8]FY20 Initial Budget Allocat (2)'!AY4/'FY20 Initial Budget Allocat FTE'!AY$121</f>
        <v>2</v>
      </c>
      <c r="AZ4" s="115">
        <f>'[8]FY20 Initial Budget Allocat (2)'!AZ4/'FY20 Initial Budget Allocat FTE'!AZ$121</f>
        <v>7</v>
      </c>
      <c r="BA4" s="115">
        <f>'[8]FY20 Initial Budget Allocat (2)'!BA4/'FY20 Initial Budget Allocat FTE'!BA$121</f>
        <v>2</v>
      </c>
      <c r="BB4" s="115">
        <f>'[8]FY20 Initial Budget Allocat (2)'!BB4/'FY20 Initial Budget Allocat FTE'!BB$121</f>
        <v>0</v>
      </c>
      <c r="BC4" s="115">
        <f>'[8]FY20 Initial Budget Allocat (2)'!BC4/'FY20 Initial Budget Allocat FTE'!BC$121</f>
        <v>0</v>
      </c>
      <c r="BD4" s="115">
        <f>'[8]FY20 Initial Budget Allocat (2)'!BD4/'FY20 Initial Budget Allocat FTE'!BD$121</f>
        <v>0.31818181818181818</v>
      </c>
      <c r="BE4" s="115">
        <f>'[8]FY20 Initial Budget Allocat (2)'!BE4/'FY20 Initial Budget Allocat FTE'!BE$121</f>
        <v>0</v>
      </c>
      <c r="BF4" s="115">
        <f>'[8]FY20 Initial Budget Allocat (2)'!BF4/'FY20 Initial Budget Allocat FTE'!BF$121</f>
        <v>0</v>
      </c>
      <c r="BG4" s="115">
        <f>'[8]FY20 Initial Budget Allocat (2)'!BG4/'FY20 Initial Budget Allocat FTE'!BG$121</f>
        <v>8</v>
      </c>
      <c r="BH4" s="115">
        <f>'[8]FY20 Initial Budget Allocat (2)'!BH4/'FY20 Initial Budget Allocat FTE'!BH$121</f>
        <v>8</v>
      </c>
      <c r="BI4" s="115">
        <f>'[8]FY20 Initial Budget Allocat (2)'!BI4/'FY20 Initial Budget Allocat FTE'!BI$121</f>
        <v>1</v>
      </c>
      <c r="BJ4" s="79"/>
      <c r="BK4" s="79">
        <v>0</v>
      </c>
      <c r="BL4" s="79"/>
      <c r="BM4" s="79">
        <v>166861.59</v>
      </c>
      <c r="BN4" s="79">
        <v>2655.2</v>
      </c>
      <c r="BO4" s="79">
        <v>0</v>
      </c>
      <c r="BP4" s="115">
        <f>'[8]FY20 Initial Budget Allocat (2)'!BP4/'FY20 Initial Budget Allocat FTE'!BP$121</f>
        <v>0</v>
      </c>
      <c r="BQ4" s="115">
        <f>'[8]FY20 Initial Budget Allocat (2)'!BQ4/'FY20 Initial Budget Allocat FTE'!BQ$121</f>
        <v>0</v>
      </c>
      <c r="BR4" s="115">
        <f>'[8]FY20 Initial Budget Allocat (2)'!BR4/'FY20 Initial Budget Allocat FTE'!BR$121</f>
        <v>0</v>
      </c>
      <c r="BS4" s="115">
        <f>'[8]FY20 Initial Budget Allocat (2)'!BS4/'FY20 Initial Budget Allocat FTE'!BS$121</f>
        <v>0</v>
      </c>
      <c r="BT4" s="115">
        <f>'[8]FY20 Initial Budget Allocat (2)'!BT4/'FY20 Initial Budget Allocat FTE'!BT$121</f>
        <v>0</v>
      </c>
      <c r="BU4" s="115">
        <f>'[8]FY20 Initial Budget Allocat (2)'!BU4/'FY20 Initial Budget Allocat FTE'!BU$121</f>
        <v>0</v>
      </c>
      <c r="BV4" s="115">
        <f>'[8]FY20 Initial Budget Allocat (2)'!BV4/'FY20 Initial Budget Allocat FTE'!BV$121</f>
        <v>0</v>
      </c>
      <c r="BW4" s="80">
        <v>0</v>
      </c>
      <c r="BX4" s="80">
        <v>0</v>
      </c>
      <c r="BY4" s="80">
        <v>0</v>
      </c>
      <c r="BZ4" s="80">
        <v>0</v>
      </c>
      <c r="CA4" s="115">
        <f>'[8]FY20 Initial Budget Allocat (2)'!CA4/'FY20 Initial Budget Allocat FTE'!CA$121</f>
        <v>0</v>
      </c>
      <c r="CB4" s="115">
        <f>'[8]FY20 Initial Budget Allocat (2)'!CB4/'FY20 Initial Budget Allocat FTE'!CB$121</f>
        <v>0</v>
      </c>
      <c r="CC4" s="80">
        <v>0</v>
      </c>
      <c r="CD4" s="115">
        <f>'[8]FY20 Initial Budget Allocat (2)'!CD4/'FY20 Initial Budget Allocat FTE'!CD$121</f>
        <v>0</v>
      </c>
      <c r="CE4" s="115">
        <f>'[8]FY20 Initial Budget Allocat (2)'!CE4/'FY20 Initial Budget Allocat FTE'!CE$121</f>
        <v>0</v>
      </c>
      <c r="CF4" s="115">
        <f>'[8]FY20 Initial Budget Allocat (2)'!CF4/'FY20 Initial Budget Allocat FTE'!CF$121</f>
        <v>0</v>
      </c>
      <c r="CG4" s="115">
        <f>'[8]FY20 Initial Budget Allocat (2)'!CG4/'FY20 Initial Budget Allocat FTE'!CG$121</f>
        <v>0</v>
      </c>
      <c r="CH4" s="115">
        <f>'[8]FY20 Initial Budget Allocat (2)'!CH4/'FY20 Initial Budget Allocat FTE'!CH$121</f>
        <v>0</v>
      </c>
      <c r="CI4" s="115">
        <f>'[8]FY20 Initial Budget Allocat (2)'!CI4/'FY20 Initial Budget Allocat FTE'!CI$121</f>
        <v>0</v>
      </c>
      <c r="CJ4" s="115">
        <f>'[8]FY20 Initial Budget Allocat (2)'!CJ4/'FY20 Initial Budget Allocat FTE'!CJ$121</f>
        <v>0</v>
      </c>
      <c r="CK4" s="79">
        <v>0</v>
      </c>
      <c r="CL4" s="79">
        <v>0</v>
      </c>
      <c r="CM4" s="79">
        <v>54082.8</v>
      </c>
      <c r="CN4" s="79">
        <v>0</v>
      </c>
      <c r="CO4" s="115">
        <f>'[8]FY20 Initial Budget Allocat (2)'!CO4/'FY20 Initial Budget Allocat FTE'!CO$121</f>
        <v>0</v>
      </c>
      <c r="CP4" s="79">
        <v>0</v>
      </c>
      <c r="CQ4" s="79">
        <v>5067.0893371757929</v>
      </c>
      <c r="CR4" s="79">
        <v>0</v>
      </c>
      <c r="CS4" s="79">
        <v>19675.7</v>
      </c>
      <c r="CT4" s="115">
        <f>'[8]FY20 Initial Budget Allocat (2)'!CT4/'FY20 Initial Budget Allocat FTE'!CT$121</f>
        <v>0</v>
      </c>
      <c r="CU4" s="115">
        <f>'[8]FY20 Initial Budget Allocat (2)'!CU4/'FY20 Initial Budget Allocat FTE'!CU$121</f>
        <v>0</v>
      </c>
      <c r="CV4" s="79"/>
      <c r="CW4" s="79">
        <v>0</v>
      </c>
      <c r="CX4" s="115">
        <f>'[8]FY20 Initial Budget Allocat (2)'!CX4/'FY20 Initial Budget Allocat FTE'!CX$121</f>
        <v>0</v>
      </c>
      <c r="CY4" s="79">
        <v>0</v>
      </c>
      <c r="CZ4" s="79">
        <v>0</v>
      </c>
      <c r="DA4" s="79">
        <v>34200</v>
      </c>
      <c r="DB4" s="79">
        <v>74734.075910867527</v>
      </c>
      <c r="DC4" s="82">
        <v>0</v>
      </c>
      <c r="DD4" s="79">
        <v>0</v>
      </c>
      <c r="DE4" s="79"/>
      <c r="DF4" s="79">
        <v>35350</v>
      </c>
      <c r="DG4" s="79">
        <v>0</v>
      </c>
      <c r="DH4" s="83">
        <v>0</v>
      </c>
      <c r="DI4" s="79">
        <v>15011.732527035163</v>
      </c>
      <c r="DJ4" s="79">
        <v>5134012.5242460249</v>
      </c>
      <c r="DK4" s="84">
        <v>63669.475753975101</v>
      </c>
      <c r="DL4" s="84">
        <v>0</v>
      </c>
      <c r="DM4" s="84">
        <f t="shared" ref="DM4:DM67" si="0">SUM(DJ4:DL4)</f>
        <v>5197682</v>
      </c>
      <c r="DN4" s="116">
        <f t="shared" ref="DN4:DN67" si="1">SUM(AA4,AC4,AE4,AG4,)</f>
        <v>7</v>
      </c>
      <c r="DO4" s="116">
        <f t="shared" ref="DO4:DO67" si="2">SUM(AB4,AD4,AF4,AH4)</f>
        <v>8</v>
      </c>
      <c r="DP4" s="116">
        <f t="shared" ref="DP4:DP67" si="3">SUM(AI4:AW4)</f>
        <v>11</v>
      </c>
      <c r="DQ4" s="116">
        <f t="shared" ref="DQ4:DQ67" si="4">SUM(AX4:AZ4,BD4,BF4)</f>
        <v>10.318181818181818</v>
      </c>
      <c r="DR4" s="116">
        <f t="shared" ref="DR4:DR67" si="5">SUM(BA4,BE4)</f>
        <v>2</v>
      </c>
    </row>
    <row r="5" spans="1:122" x14ac:dyDescent="0.25">
      <c r="A5" s="76">
        <v>450</v>
      </c>
      <c r="B5" s="76" t="s">
        <v>137</v>
      </c>
      <c r="C5" s="77" t="s">
        <v>138</v>
      </c>
      <c r="D5" s="41">
        <v>8</v>
      </c>
      <c r="E5" s="78">
        <v>266</v>
      </c>
      <c r="F5" s="78">
        <v>253.72705882352938</v>
      </c>
      <c r="G5" s="115">
        <f>'[8]FY20 Initial Budget Allocat (2)'!G5/'FY20 Initial Budget Allocat FTE'!G$121</f>
        <v>1</v>
      </c>
      <c r="H5" s="115">
        <f>'[8]FY20 Initial Budget Allocat (2)'!H5/'FY20 Initial Budget Allocat FTE'!H$121</f>
        <v>1</v>
      </c>
      <c r="I5" s="115">
        <f>'[8]FY20 Initial Budget Allocat (2)'!I5/'FY20 Initial Budget Allocat FTE'!I$121</f>
        <v>0.9</v>
      </c>
      <c r="J5" s="115">
        <f>'[8]FY20 Initial Budget Allocat (2)'!J5/'FY20 Initial Budget Allocat FTE'!J$121</f>
        <v>0</v>
      </c>
      <c r="K5" s="115">
        <f>'[8]FY20 Initial Budget Allocat (2)'!K5/'FY20 Initial Budget Allocat FTE'!K$121</f>
        <v>1.4999948601613144</v>
      </c>
      <c r="L5" s="115">
        <f>'[8]FY20 Initial Budget Allocat (2)'!L5/'FY20 Initial Budget Allocat FTE'!L$121</f>
        <v>0.5</v>
      </c>
      <c r="M5" s="115">
        <f>'[8]FY20 Initial Budget Allocat (2)'!M5/'FY20 Initial Budget Allocat FTE'!M$121</f>
        <v>1</v>
      </c>
      <c r="N5" s="115">
        <f>'[8]FY20 Initial Budget Allocat (2)'!N5/'FY20 Initial Budget Allocat FTE'!N$121</f>
        <v>0</v>
      </c>
      <c r="O5" s="115">
        <f>'[8]FY20 Initial Budget Allocat (2)'!O5/'FY20 Initial Budget Allocat FTE'!O$121</f>
        <v>1</v>
      </c>
      <c r="P5" s="115">
        <f>'[8]FY20 Initial Budget Allocat (2)'!P5/'FY20 Initial Budget Allocat FTE'!P$121</f>
        <v>0.99999999999999722</v>
      </c>
      <c r="Q5" s="115">
        <f>'[8]FY20 Initial Budget Allocat (2)'!Q5/'FY20 Initial Budget Allocat FTE'!Q$121</f>
        <v>1</v>
      </c>
      <c r="R5" s="115">
        <f>'[8]FY20 Initial Budget Allocat (2)'!R5/'FY20 Initial Budget Allocat FTE'!R$121</f>
        <v>1</v>
      </c>
      <c r="S5" s="115">
        <f>'[8]FY20 Initial Budget Allocat (2)'!S5/'FY20 Initial Budget Allocat FTE'!S$121</f>
        <v>1</v>
      </c>
      <c r="T5" s="115">
        <f>'[8]FY20 Initial Budget Allocat (2)'!T5/'FY20 Initial Budget Allocat FTE'!T$121</f>
        <v>5</v>
      </c>
      <c r="U5" s="115">
        <f>'[8]FY20 Initial Budget Allocat (2)'!U5/'FY20 Initial Budget Allocat FTE'!U$121</f>
        <v>0.5</v>
      </c>
      <c r="V5" s="115">
        <f>'[8]FY20 Initial Budget Allocat (2)'!V5/'FY20 Initial Budget Allocat FTE'!V$121</f>
        <v>0</v>
      </c>
      <c r="W5" s="115">
        <f>'[8]FY20 Initial Budget Allocat (2)'!W5/'FY20 Initial Budget Allocat FTE'!W$121</f>
        <v>0</v>
      </c>
      <c r="X5" s="115">
        <f>'[8]FY20 Initial Budget Allocat (2)'!X5/'FY20 Initial Budget Allocat FTE'!X$121</f>
        <v>0</v>
      </c>
      <c r="Y5" s="115">
        <f>'[8]FY20 Initial Budget Allocat (2)'!Y5/'FY20 Initial Budget Allocat FTE'!Y$121</f>
        <v>0</v>
      </c>
      <c r="Z5" s="115">
        <f>'[8]FY20 Initial Budget Allocat (2)'!Z5/'FY20 Initial Budget Allocat FTE'!Z$121</f>
        <v>0</v>
      </c>
      <c r="AA5" s="115">
        <f>'[8]FY20 Initial Budget Allocat (2)'!AA5/'FY20 Initial Budget Allocat FTE'!AA$121</f>
        <v>0</v>
      </c>
      <c r="AB5" s="115">
        <f>'[8]FY20 Initial Budget Allocat (2)'!AB5/'FY20 Initial Budget Allocat FTE'!AB$121</f>
        <v>0</v>
      </c>
      <c r="AC5" s="115">
        <f>'[8]FY20 Initial Budget Allocat (2)'!AC5/'FY20 Initial Budget Allocat FTE'!AC$121</f>
        <v>0</v>
      </c>
      <c r="AD5" s="115">
        <f>'[8]FY20 Initial Budget Allocat (2)'!AD5/'FY20 Initial Budget Allocat FTE'!AD$121</f>
        <v>0</v>
      </c>
      <c r="AE5" s="115">
        <f>'[8]FY20 Initial Budget Allocat (2)'!AE5/'FY20 Initial Budget Allocat FTE'!AE$121</f>
        <v>0</v>
      </c>
      <c r="AF5" s="115">
        <f>'[8]FY20 Initial Budget Allocat (2)'!AF5/'FY20 Initial Budget Allocat FTE'!AF$121</f>
        <v>0</v>
      </c>
      <c r="AG5" s="115">
        <f>'[8]FY20 Initial Budget Allocat (2)'!AG5/'FY20 Initial Budget Allocat FTE'!AG$121</f>
        <v>0</v>
      </c>
      <c r="AH5" s="115">
        <f>'[8]FY20 Initial Budget Allocat (2)'!AH5/'FY20 Initial Budget Allocat FTE'!AH$121</f>
        <v>0</v>
      </c>
      <c r="AI5" s="115">
        <f>'[8]FY20 Initial Budget Allocat (2)'!AI5/'FY20 Initial Budget Allocat FTE'!AI$121</f>
        <v>0</v>
      </c>
      <c r="AJ5" s="115">
        <f>'[8]FY20 Initial Budget Allocat (2)'!AJ5/'FY20 Initial Budget Allocat FTE'!AJ$121</f>
        <v>0</v>
      </c>
      <c r="AK5" s="115">
        <f>'[8]FY20 Initial Budget Allocat (2)'!AK5/'FY20 Initial Budget Allocat FTE'!AK$121</f>
        <v>0</v>
      </c>
      <c r="AL5" s="115">
        <f>'[8]FY20 Initial Budget Allocat (2)'!AL5/'FY20 Initial Budget Allocat FTE'!AL$121</f>
        <v>0</v>
      </c>
      <c r="AM5" s="115">
        <f>'[8]FY20 Initial Budget Allocat (2)'!AM5/'FY20 Initial Budget Allocat FTE'!AM$121</f>
        <v>0</v>
      </c>
      <c r="AN5" s="115">
        <f>'[8]FY20 Initial Budget Allocat (2)'!AN5/'FY20 Initial Budget Allocat FTE'!AN$121</f>
        <v>0</v>
      </c>
      <c r="AO5" s="115">
        <f>'[8]FY20 Initial Budget Allocat (2)'!AO5/'FY20 Initial Budget Allocat FTE'!AO$121</f>
        <v>0</v>
      </c>
      <c r="AP5" s="115">
        <f>'[8]FY20 Initial Budget Allocat (2)'!AP5/'FY20 Initial Budget Allocat FTE'!AP$121</f>
        <v>0</v>
      </c>
      <c r="AQ5" s="115">
        <f>'[8]FY20 Initial Budget Allocat (2)'!AQ5/'FY20 Initial Budget Allocat FTE'!AQ$121</f>
        <v>0</v>
      </c>
      <c r="AR5" s="115">
        <f>'[8]FY20 Initial Budget Allocat (2)'!AR5/'FY20 Initial Budget Allocat FTE'!AR$121</f>
        <v>0</v>
      </c>
      <c r="AS5" s="115">
        <f>'[8]FY20 Initial Budget Allocat (2)'!AS5/'FY20 Initial Budget Allocat FTE'!AS$121</f>
        <v>0</v>
      </c>
      <c r="AT5" s="115">
        <f>'[8]FY20 Initial Budget Allocat (2)'!AT5/'FY20 Initial Budget Allocat FTE'!AT$121</f>
        <v>0</v>
      </c>
      <c r="AU5" s="115">
        <f>'[8]FY20 Initial Budget Allocat (2)'!AU5/'FY20 Initial Budget Allocat FTE'!AU$121</f>
        <v>0</v>
      </c>
      <c r="AV5" s="115">
        <f>'[8]FY20 Initial Budget Allocat (2)'!AV5/'FY20 Initial Budget Allocat FTE'!AV$121</f>
        <v>11.083333333333334</v>
      </c>
      <c r="AW5" s="115">
        <f>'[8]FY20 Initial Budget Allocat (2)'!AW5/'FY20 Initial Budget Allocat FTE'!AW$121</f>
        <v>8.2697960988409474</v>
      </c>
      <c r="AX5" s="115">
        <f>'[8]FY20 Initial Budget Allocat (2)'!AX5/'FY20 Initial Budget Allocat FTE'!AX$121</f>
        <v>2</v>
      </c>
      <c r="AY5" s="115">
        <f>'[8]FY20 Initial Budget Allocat (2)'!AY5/'FY20 Initial Budget Allocat FTE'!AY$121</f>
        <v>5</v>
      </c>
      <c r="AZ5" s="115">
        <f>'[8]FY20 Initial Budget Allocat (2)'!AZ5/'FY20 Initial Budget Allocat FTE'!AZ$121</f>
        <v>12.000000000000002</v>
      </c>
      <c r="BA5" s="115">
        <f>'[8]FY20 Initial Budget Allocat (2)'!BA5/'FY20 Initial Budget Allocat FTE'!BA$121</f>
        <v>8</v>
      </c>
      <c r="BB5" s="115">
        <f>'[8]FY20 Initial Budget Allocat (2)'!BB5/'FY20 Initial Budget Allocat FTE'!BB$121</f>
        <v>2</v>
      </c>
      <c r="BC5" s="115">
        <f>'[8]FY20 Initial Budget Allocat (2)'!BC5/'FY20 Initial Budget Allocat FTE'!BC$121</f>
        <v>0</v>
      </c>
      <c r="BD5" s="115">
        <f>'[8]FY20 Initial Budget Allocat (2)'!BD5/'FY20 Initial Budget Allocat FTE'!BD$121</f>
        <v>0.22727272727272727</v>
      </c>
      <c r="BE5" s="115">
        <f>'[8]FY20 Initial Budget Allocat (2)'!BE5/'FY20 Initial Budget Allocat FTE'!BE$121</f>
        <v>0</v>
      </c>
      <c r="BF5" s="115">
        <f>'[8]FY20 Initial Budget Allocat (2)'!BF5/'FY20 Initial Budget Allocat FTE'!BF$121</f>
        <v>0</v>
      </c>
      <c r="BG5" s="115">
        <f>'[8]FY20 Initial Budget Allocat (2)'!BG5/'FY20 Initial Budget Allocat FTE'!BG$121</f>
        <v>0</v>
      </c>
      <c r="BH5" s="115">
        <f>'[8]FY20 Initial Budget Allocat (2)'!BH5/'FY20 Initial Budget Allocat FTE'!BH$121</f>
        <v>0</v>
      </c>
      <c r="BI5" s="115">
        <f>'[8]FY20 Initial Budget Allocat (2)'!BI5/'FY20 Initial Budget Allocat FTE'!BI$121</f>
        <v>0</v>
      </c>
      <c r="BJ5" s="79"/>
      <c r="BK5" s="79">
        <v>60000</v>
      </c>
      <c r="BL5" s="79"/>
      <c r="BM5" s="79">
        <v>179697.09</v>
      </c>
      <c r="BN5" s="79">
        <v>2859.45</v>
      </c>
      <c r="BO5" s="79">
        <v>0</v>
      </c>
      <c r="BP5" s="115">
        <f>'[8]FY20 Initial Budget Allocat (2)'!BP5/'FY20 Initial Budget Allocat FTE'!BP$121</f>
        <v>0</v>
      </c>
      <c r="BQ5" s="115">
        <f>'[8]FY20 Initial Budget Allocat (2)'!BQ5/'FY20 Initial Budget Allocat FTE'!BQ$121</f>
        <v>0</v>
      </c>
      <c r="BR5" s="115">
        <f>'[8]FY20 Initial Budget Allocat (2)'!BR5/'FY20 Initial Budget Allocat FTE'!BR$121</f>
        <v>0</v>
      </c>
      <c r="BS5" s="115">
        <f>'[8]FY20 Initial Budget Allocat (2)'!BS5/'FY20 Initial Budget Allocat FTE'!BS$121</f>
        <v>0</v>
      </c>
      <c r="BT5" s="115">
        <f>'[8]FY20 Initial Budget Allocat (2)'!BT5/'FY20 Initial Budget Allocat FTE'!BT$121</f>
        <v>0</v>
      </c>
      <c r="BU5" s="115">
        <f>'[8]FY20 Initial Budget Allocat (2)'!BU5/'FY20 Initial Budget Allocat FTE'!BU$121</f>
        <v>0</v>
      </c>
      <c r="BV5" s="115">
        <f>'[8]FY20 Initial Budget Allocat (2)'!BV5/'FY20 Initial Budget Allocat FTE'!BV$121</f>
        <v>1</v>
      </c>
      <c r="BW5" s="80">
        <v>20000</v>
      </c>
      <c r="BX5" s="80">
        <v>29000</v>
      </c>
      <c r="BY5" s="80">
        <v>0</v>
      </c>
      <c r="BZ5" s="80">
        <v>0</v>
      </c>
      <c r="CA5" s="115">
        <f>'[8]FY20 Initial Budget Allocat (2)'!CA5/'FY20 Initial Budget Allocat FTE'!CA$121</f>
        <v>0</v>
      </c>
      <c r="CB5" s="115">
        <f>'[8]FY20 Initial Budget Allocat (2)'!CB5/'FY20 Initial Budget Allocat FTE'!CB$121</f>
        <v>0</v>
      </c>
      <c r="CC5" s="80">
        <v>23700</v>
      </c>
      <c r="CD5" s="115">
        <f>'[8]FY20 Initial Budget Allocat (2)'!CD5/'FY20 Initial Budget Allocat FTE'!CD$121</f>
        <v>2</v>
      </c>
      <c r="CE5" s="115">
        <f>'[8]FY20 Initial Budget Allocat (2)'!CE5/'FY20 Initial Budget Allocat FTE'!CE$121</f>
        <v>0</v>
      </c>
      <c r="CF5" s="115">
        <f>'[8]FY20 Initial Budget Allocat (2)'!CF5/'FY20 Initial Budget Allocat FTE'!CF$121</f>
        <v>0</v>
      </c>
      <c r="CG5" s="115">
        <f>'[8]FY20 Initial Budget Allocat (2)'!CG5/'FY20 Initial Budget Allocat FTE'!CG$121</f>
        <v>0</v>
      </c>
      <c r="CH5" s="115">
        <f>'[8]FY20 Initial Budget Allocat (2)'!CH5/'FY20 Initial Budget Allocat FTE'!CH$121</f>
        <v>0</v>
      </c>
      <c r="CI5" s="115">
        <f>'[8]FY20 Initial Budget Allocat (2)'!CI5/'FY20 Initial Budget Allocat FTE'!CI$121</f>
        <v>0</v>
      </c>
      <c r="CJ5" s="115">
        <f>'[8]FY20 Initial Budget Allocat (2)'!CJ5/'FY20 Initial Budget Allocat FTE'!CJ$121</f>
        <v>0</v>
      </c>
      <c r="CK5" s="79">
        <v>0</v>
      </c>
      <c r="CL5" s="79">
        <v>0</v>
      </c>
      <c r="CM5" s="79">
        <v>673863</v>
      </c>
      <c r="CN5" s="79">
        <v>0</v>
      </c>
      <c r="CO5" s="115">
        <f>'[8]FY20 Initial Budget Allocat (2)'!CO5/'FY20 Initial Budget Allocat FTE'!CO$121</f>
        <v>1</v>
      </c>
      <c r="CP5" s="79">
        <v>75000</v>
      </c>
      <c r="CQ5" s="79">
        <v>10149.082352941175</v>
      </c>
      <c r="CR5" s="79">
        <v>0</v>
      </c>
      <c r="CS5" s="79">
        <v>38095.312425328557</v>
      </c>
      <c r="CT5" s="115">
        <f>'[8]FY20 Initial Budget Allocat (2)'!CT5/'FY20 Initial Budget Allocat FTE'!CT$121</f>
        <v>0</v>
      </c>
      <c r="CU5" s="115">
        <f>'[8]FY20 Initial Budget Allocat (2)'!CU5/'FY20 Initial Budget Allocat FTE'!CU$121</f>
        <v>1</v>
      </c>
      <c r="CV5" s="79"/>
      <c r="CW5" s="79">
        <v>0</v>
      </c>
      <c r="CX5" s="115">
        <f>'[8]FY20 Initial Budget Allocat (2)'!CX5/'FY20 Initial Budget Allocat FTE'!CX$121</f>
        <v>0</v>
      </c>
      <c r="CY5" s="79">
        <v>0</v>
      </c>
      <c r="CZ5" s="79">
        <v>0</v>
      </c>
      <c r="DA5" s="79">
        <v>26600</v>
      </c>
      <c r="DB5" s="79">
        <v>97842.101894372594</v>
      </c>
      <c r="DC5" s="82">
        <v>0</v>
      </c>
      <c r="DD5" s="79">
        <v>0</v>
      </c>
      <c r="DE5" s="79"/>
      <c r="DF5" s="79">
        <v>18000</v>
      </c>
      <c r="DG5" s="79">
        <v>0</v>
      </c>
      <c r="DH5" s="83">
        <v>797936.40116474312</v>
      </c>
      <c r="DI5" s="79">
        <v>31911.712016450521</v>
      </c>
      <c r="DJ5" s="79">
        <v>8488515.3963758387</v>
      </c>
      <c r="DK5" s="84">
        <v>3.6241617053747177E-3</v>
      </c>
      <c r="DL5" s="84">
        <v>355092.47</v>
      </c>
      <c r="DM5" s="84">
        <f t="shared" si="0"/>
        <v>8843607.870000001</v>
      </c>
      <c r="DN5" s="116">
        <f t="shared" si="1"/>
        <v>0</v>
      </c>
      <c r="DO5" s="116">
        <f t="shared" si="2"/>
        <v>0</v>
      </c>
      <c r="DP5" s="116">
        <f t="shared" si="3"/>
        <v>19.353129432174281</v>
      </c>
      <c r="DQ5" s="116">
        <f t="shared" si="4"/>
        <v>19.227272727272727</v>
      </c>
      <c r="DR5" s="116">
        <f t="shared" si="5"/>
        <v>8</v>
      </c>
    </row>
    <row r="6" spans="1:122" x14ac:dyDescent="0.25">
      <c r="A6" s="76">
        <v>452</v>
      </c>
      <c r="B6" s="76" t="s">
        <v>139</v>
      </c>
      <c r="C6" s="77" t="s">
        <v>138</v>
      </c>
      <c r="D6" s="41">
        <v>8</v>
      </c>
      <c r="E6" s="78">
        <v>568</v>
      </c>
      <c r="F6" s="78">
        <v>514.57582417582421</v>
      </c>
      <c r="G6" s="115">
        <f>'[8]FY20 Initial Budget Allocat (2)'!G6/'FY20 Initial Budget Allocat FTE'!G$121</f>
        <v>1</v>
      </c>
      <c r="H6" s="115">
        <f>'[8]FY20 Initial Budget Allocat (2)'!H6/'FY20 Initial Budget Allocat FTE'!H$121</f>
        <v>1</v>
      </c>
      <c r="I6" s="115">
        <f>'[8]FY20 Initial Budget Allocat (2)'!I6/'FY20 Initial Budget Allocat FTE'!I$121</f>
        <v>1.9000000000000001</v>
      </c>
      <c r="J6" s="115">
        <f>'[8]FY20 Initial Budget Allocat (2)'!J6/'FY20 Initial Budget Allocat FTE'!J$121</f>
        <v>0</v>
      </c>
      <c r="K6" s="115">
        <f>'[8]FY20 Initial Budget Allocat (2)'!K6/'FY20 Initial Budget Allocat FTE'!K$121</f>
        <v>2.4999914336021911</v>
      </c>
      <c r="L6" s="115">
        <f>'[8]FY20 Initial Budget Allocat (2)'!L6/'FY20 Initial Budget Allocat FTE'!L$121</f>
        <v>1</v>
      </c>
      <c r="M6" s="115">
        <f>'[8]FY20 Initial Budget Allocat (2)'!M6/'FY20 Initial Budget Allocat FTE'!M$121</f>
        <v>1</v>
      </c>
      <c r="N6" s="115">
        <f>'[8]FY20 Initial Budget Allocat (2)'!N6/'FY20 Initial Budget Allocat FTE'!N$121</f>
        <v>1.4</v>
      </c>
      <c r="O6" s="115">
        <f>'[8]FY20 Initial Budget Allocat (2)'!O6/'FY20 Initial Budget Allocat FTE'!O$121</f>
        <v>1</v>
      </c>
      <c r="P6" s="115">
        <f>'[8]FY20 Initial Budget Allocat (2)'!P6/'FY20 Initial Budget Allocat FTE'!P$121</f>
        <v>0.99999999999999722</v>
      </c>
      <c r="Q6" s="115">
        <f>'[8]FY20 Initial Budget Allocat (2)'!Q6/'FY20 Initial Budget Allocat FTE'!Q$121</f>
        <v>1</v>
      </c>
      <c r="R6" s="115">
        <f>'[8]FY20 Initial Budget Allocat (2)'!R6/'FY20 Initial Budget Allocat FTE'!R$121</f>
        <v>1</v>
      </c>
      <c r="S6" s="115">
        <f>'[8]FY20 Initial Budget Allocat (2)'!S6/'FY20 Initial Budget Allocat FTE'!S$121</f>
        <v>1</v>
      </c>
      <c r="T6" s="115">
        <f>'[8]FY20 Initial Budget Allocat (2)'!T6/'FY20 Initial Budget Allocat FTE'!T$121</f>
        <v>9</v>
      </c>
      <c r="U6" s="115">
        <f>'[8]FY20 Initial Budget Allocat (2)'!U6/'FY20 Initial Budget Allocat FTE'!U$121</f>
        <v>1</v>
      </c>
      <c r="V6" s="115">
        <f>'[8]FY20 Initial Budget Allocat (2)'!V6/'FY20 Initial Budget Allocat FTE'!V$121</f>
        <v>0</v>
      </c>
      <c r="W6" s="115">
        <f>'[8]FY20 Initial Budget Allocat (2)'!W6/'FY20 Initial Budget Allocat FTE'!W$121</f>
        <v>0</v>
      </c>
      <c r="X6" s="115">
        <f>'[8]FY20 Initial Budget Allocat (2)'!X6/'FY20 Initial Budget Allocat FTE'!X$121</f>
        <v>0</v>
      </c>
      <c r="Y6" s="115">
        <f>'[8]FY20 Initial Budget Allocat (2)'!Y6/'FY20 Initial Budget Allocat FTE'!Y$121</f>
        <v>0</v>
      </c>
      <c r="Z6" s="115">
        <f>'[8]FY20 Initial Budget Allocat (2)'!Z6/'FY20 Initial Budget Allocat FTE'!Z$121</f>
        <v>0</v>
      </c>
      <c r="AA6" s="115">
        <f>'[8]FY20 Initial Budget Allocat (2)'!AA6/'FY20 Initial Budget Allocat FTE'!AA$121</f>
        <v>0</v>
      </c>
      <c r="AB6" s="115">
        <f>'[8]FY20 Initial Budget Allocat (2)'!AB6/'FY20 Initial Budget Allocat FTE'!AB$121</f>
        <v>0</v>
      </c>
      <c r="AC6" s="115">
        <f>'[8]FY20 Initial Budget Allocat (2)'!AC6/'FY20 Initial Budget Allocat FTE'!AC$121</f>
        <v>0</v>
      </c>
      <c r="AD6" s="115">
        <f>'[8]FY20 Initial Budget Allocat (2)'!AD6/'FY20 Initial Budget Allocat FTE'!AD$121</f>
        <v>0</v>
      </c>
      <c r="AE6" s="115">
        <f>'[8]FY20 Initial Budget Allocat (2)'!AE6/'FY20 Initial Budget Allocat FTE'!AE$121</f>
        <v>0</v>
      </c>
      <c r="AF6" s="115">
        <f>'[8]FY20 Initial Budget Allocat (2)'!AF6/'FY20 Initial Budget Allocat FTE'!AF$121</f>
        <v>0</v>
      </c>
      <c r="AG6" s="115">
        <f>'[8]FY20 Initial Budget Allocat (2)'!AG6/'FY20 Initial Budget Allocat FTE'!AG$121</f>
        <v>0</v>
      </c>
      <c r="AH6" s="115">
        <f>'[8]FY20 Initial Budget Allocat (2)'!AH6/'FY20 Initial Budget Allocat FTE'!AH$121</f>
        <v>0</v>
      </c>
      <c r="AI6" s="115">
        <f>'[8]FY20 Initial Budget Allocat (2)'!AI6/'FY20 Initial Budget Allocat FTE'!AI$121</f>
        <v>0</v>
      </c>
      <c r="AJ6" s="115">
        <f>'[8]FY20 Initial Budget Allocat (2)'!AJ6/'FY20 Initial Budget Allocat FTE'!AJ$121</f>
        <v>0</v>
      </c>
      <c r="AK6" s="115">
        <f>'[8]FY20 Initial Budget Allocat (2)'!AK6/'FY20 Initial Budget Allocat FTE'!AK$121</f>
        <v>0</v>
      </c>
      <c r="AL6" s="115">
        <f>'[8]FY20 Initial Budget Allocat (2)'!AL6/'FY20 Initial Budget Allocat FTE'!AL$121</f>
        <v>0</v>
      </c>
      <c r="AM6" s="115">
        <f>'[8]FY20 Initial Budget Allocat (2)'!AM6/'FY20 Initial Budget Allocat FTE'!AM$121</f>
        <v>0</v>
      </c>
      <c r="AN6" s="115">
        <f>'[8]FY20 Initial Budget Allocat (2)'!AN6/'FY20 Initial Budget Allocat FTE'!AN$121</f>
        <v>0</v>
      </c>
      <c r="AO6" s="115">
        <f>'[8]FY20 Initial Budget Allocat (2)'!AO6/'FY20 Initial Budget Allocat FTE'!AO$121</f>
        <v>0</v>
      </c>
      <c r="AP6" s="115">
        <f>'[8]FY20 Initial Budget Allocat (2)'!AP6/'FY20 Initial Budget Allocat FTE'!AP$121</f>
        <v>0</v>
      </c>
      <c r="AQ6" s="115">
        <f>'[8]FY20 Initial Budget Allocat (2)'!AQ6/'FY20 Initial Budget Allocat FTE'!AQ$121</f>
        <v>0</v>
      </c>
      <c r="AR6" s="115">
        <f>'[8]FY20 Initial Budget Allocat (2)'!AR6/'FY20 Initial Budget Allocat FTE'!AR$121</f>
        <v>0</v>
      </c>
      <c r="AS6" s="115">
        <f>'[8]FY20 Initial Budget Allocat (2)'!AS6/'FY20 Initial Budget Allocat FTE'!AS$121</f>
        <v>0</v>
      </c>
      <c r="AT6" s="115">
        <f>'[8]FY20 Initial Budget Allocat (2)'!AT6/'FY20 Initial Budget Allocat FTE'!AT$121</f>
        <v>0</v>
      </c>
      <c r="AU6" s="115">
        <f>'[8]FY20 Initial Budget Allocat (2)'!AU6/'FY20 Initial Budget Allocat FTE'!AU$121</f>
        <v>0</v>
      </c>
      <c r="AV6" s="115">
        <f>'[8]FY20 Initial Budget Allocat (2)'!AV6/'FY20 Initial Budget Allocat FTE'!AV$121</f>
        <v>23.666666666666664</v>
      </c>
      <c r="AW6" s="115">
        <f>'[8]FY20 Initial Budget Allocat (2)'!AW6/'FY20 Initial Budget Allocat FTE'!AW$121</f>
        <v>10.503705675427677</v>
      </c>
      <c r="AX6" s="115">
        <f>'[8]FY20 Initial Budget Allocat (2)'!AX6/'FY20 Initial Budget Allocat FTE'!AX$121</f>
        <v>2</v>
      </c>
      <c r="AY6" s="115">
        <f>'[8]FY20 Initial Budget Allocat (2)'!AY6/'FY20 Initial Budget Allocat FTE'!AY$121</f>
        <v>5</v>
      </c>
      <c r="AZ6" s="115">
        <f>'[8]FY20 Initial Budget Allocat (2)'!AZ6/'FY20 Initial Budget Allocat FTE'!AZ$121</f>
        <v>16</v>
      </c>
      <c r="BA6" s="115">
        <f>'[8]FY20 Initial Budget Allocat (2)'!BA6/'FY20 Initial Budget Allocat FTE'!BA$121</f>
        <v>9</v>
      </c>
      <c r="BB6" s="115">
        <f>'[8]FY20 Initial Budget Allocat (2)'!BB6/'FY20 Initial Budget Allocat FTE'!BB$121</f>
        <v>3</v>
      </c>
      <c r="BC6" s="115">
        <f>'[8]FY20 Initial Budget Allocat (2)'!BC6/'FY20 Initial Budget Allocat FTE'!BC$121</f>
        <v>0</v>
      </c>
      <c r="BD6" s="115">
        <f>'[8]FY20 Initial Budget Allocat (2)'!BD6/'FY20 Initial Budget Allocat FTE'!BD$121</f>
        <v>0.22727272727272727</v>
      </c>
      <c r="BE6" s="115">
        <f>'[8]FY20 Initial Budget Allocat (2)'!BE6/'FY20 Initial Budget Allocat FTE'!BE$121</f>
        <v>0</v>
      </c>
      <c r="BF6" s="115">
        <f>'[8]FY20 Initial Budget Allocat (2)'!BF6/'FY20 Initial Budget Allocat FTE'!BF$121</f>
        <v>0</v>
      </c>
      <c r="BG6" s="115">
        <f>'[8]FY20 Initial Budget Allocat (2)'!BG6/'FY20 Initial Budget Allocat FTE'!BG$121</f>
        <v>0</v>
      </c>
      <c r="BH6" s="115">
        <f>'[8]FY20 Initial Budget Allocat (2)'!BH6/'FY20 Initial Budget Allocat FTE'!BH$121</f>
        <v>0</v>
      </c>
      <c r="BI6" s="115">
        <f>'[8]FY20 Initial Budget Allocat (2)'!BI6/'FY20 Initial Budget Allocat FTE'!BI$121</f>
        <v>0</v>
      </c>
      <c r="BJ6" s="79"/>
      <c r="BK6" s="79">
        <v>70000</v>
      </c>
      <c r="BL6" s="79"/>
      <c r="BM6" s="79">
        <v>417867.05</v>
      </c>
      <c r="BN6" s="79">
        <v>6649.35</v>
      </c>
      <c r="BO6" s="79">
        <v>0</v>
      </c>
      <c r="BP6" s="115">
        <f>'[8]FY20 Initial Budget Allocat (2)'!BP6/'FY20 Initial Budget Allocat FTE'!BP$121</f>
        <v>0</v>
      </c>
      <c r="BQ6" s="115">
        <f>'[8]FY20 Initial Budget Allocat (2)'!BQ6/'FY20 Initial Budget Allocat FTE'!BQ$121</f>
        <v>0</v>
      </c>
      <c r="BR6" s="115">
        <f>'[8]FY20 Initial Budget Allocat (2)'!BR6/'FY20 Initial Budget Allocat FTE'!BR$121</f>
        <v>0</v>
      </c>
      <c r="BS6" s="115">
        <f>'[8]FY20 Initial Budget Allocat (2)'!BS6/'FY20 Initial Budget Allocat FTE'!BS$121</f>
        <v>0</v>
      </c>
      <c r="BT6" s="115">
        <f>'[8]FY20 Initial Budget Allocat (2)'!BT6/'FY20 Initial Budget Allocat FTE'!BT$121</f>
        <v>0</v>
      </c>
      <c r="BU6" s="115">
        <f>'[8]FY20 Initial Budget Allocat (2)'!BU6/'FY20 Initial Budget Allocat FTE'!BU$121</f>
        <v>0</v>
      </c>
      <c r="BV6" s="115">
        <f>'[8]FY20 Initial Budget Allocat (2)'!BV6/'FY20 Initial Budget Allocat FTE'!BV$121</f>
        <v>1</v>
      </c>
      <c r="BW6" s="80">
        <v>30000</v>
      </c>
      <c r="BX6" s="80">
        <v>29000</v>
      </c>
      <c r="BY6" s="80">
        <v>0</v>
      </c>
      <c r="BZ6" s="80">
        <v>45000</v>
      </c>
      <c r="CA6" s="115">
        <f>'[8]FY20 Initial Budget Allocat (2)'!CA6/'FY20 Initial Budget Allocat FTE'!CA$121</f>
        <v>0</v>
      </c>
      <c r="CB6" s="115">
        <f>'[8]FY20 Initial Budget Allocat (2)'!CB6/'FY20 Initial Budget Allocat FTE'!CB$121</f>
        <v>0</v>
      </c>
      <c r="CC6" s="80">
        <v>23700</v>
      </c>
      <c r="CD6" s="115">
        <f>'[8]FY20 Initial Budget Allocat (2)'!CD6/'FY20 Initial Budget Allocat FTE'!CD$121</f>
        <v>2</v>
      </c>
      <c r="CE6" s="115">
        <f>'[8]FY20 Initial Budget Allocat (2)'!CE6/'FY20 Initial Budget Allocat FTE'!CE$121</f>
        <v>0</v>
      </c>
      <c r="CF6" s="115">
        <f>'[8]FY20 Initial Budget Allocat (2)'!CF6/'FY20 Initial Budget Allocat FTE'!CF$121</f>
        <v>1</v>
      </c>
      <c r="CG6" s="115">
        <f>'[8]FY20 Initial Budget Allocat (2)'!CG6/'FY20 Initial Budget Allocat FTE'!CG$121</f>
        <v>1</v>
      </c>
      <c r="CH6" s="115">
        <f>'[8]FY20 Initial Budget Allocat (2)'!CH6/'FY20 Initial Budget Allocat FTE'!CH$121</f>
        <v>1</v>
      </c>
      <c r="CI6" s="115">
        <f>'[8]FY20 Initial Budget Allocat (2)'!CI6/'FY20 Initial Budget Allocat FTE'!CI$121</f>
        <v>0</v>
      </c>
      <c r="CJ6" s="115">
        <f>'[8]FY20 Initial Budget Allocat (2)'!CJ6/'FY20 Initial Budget Allocat FTE'!CJ$121</f>
        <v>0</v>
      </c>
      <c r="CK6" s="79">
        <v>0</v>
      </c>
      <c r="CL6" s="79">
        <v>0</v>
      </c>
      <c r="CM6" s="79">
        <v>817540.8</v>
      </c>
      <c r="CN6" s="79">
        <v>0</v>
      </c>
      <c r="CO6" s="115">
        <f>'[8]FY20 Initial Budget Allocat (2)'!CO6/'FY20 Initial Budget Allocat FTE'!CO$121</f>
        <v>1</v>
      </c>
      <c r="CP6" s="79">
        <v>75000</v>
      </c>
      <c r="CQ6" s="79">
        <v>20583.032967032967</v>
      </c>
      <c r="CR6" s="79">
        <v>0</v>
      </c>
      <c r="CS6" s="79">
        <v>78393.712459016388</v>
      </c>
      <c r="CT6" s="115">
        <f>'[8]FY20 Initial Budget Allocat (2)'!CT6/'FY20 Initial Budget Allocat FTE'!CT$121</f>
        <v>0</v>
      </c>
      <c r="CU6" s="115">
        <f>'[8]FY20 Initial Budget Allocat (2)'!CU6/'FY20 Initial Budget Allocat FTE'!CU$121</f>
        <v>1</v>
      </c>
      <c r="CV6" s="79"/>
      <c r="CW6" s="79">
        <v>0</v>
      </c>
      <c r="CX6" s="115">
        <f>'[8]FY20 Initial Budget Allocat (2)'!CX6/'FY20 Initial Budget Allocat FTE'!CX$121</f>
        <v>0</v>
      </c>
      <c r="CY6" s="79">
        <v>5000</v>
      </c>
      <c r="CZ6" s="91">
        <v>115407</v>
      </c>
      <c r="DA6" s="79">
        <v>56800</v>
      </c>
      <c r="DB6" s="79">
        <v>143852.13826173163</v>
      </c>
      <c r="DC6" s="82">
        <v>0</v>
      </c>
      <c r="DD6" s="79">
        <v>0</v>
      </c>
      <c r="DE6" s="79"/>
      <c r="DF6" s="79">
        <v>53550</v>
      </c>
      <c r="DG6" s="79">
        <v>0</v>
      </c>
      <c r="DH6" s="83">
        <v>847158.65851824952</v>
      </c>
      <c r="DI6" s="79">
        <v>21775.763958980078</v>
      </c>
      <c r="DJ6" s="79">
        <v>12362341.204898631</v>
      </c>
      <c r="DK6" s="84">
        <v>6292.7251013685018</v>
      </c>
      <c r="DL6" s="84">
        <v>370291.99</v>
      </c>
      <c r="DM6" s="84">
        <f t="shared" si="0"/>
        <v>12738925.92</v>
      </c>
      <c r="DN6" s="116">
        <f t="shared" si="1"/>
        <v>0</v>
      </c>
      <c r="DO6" s="116">
        <f t="shared" si="2"/>
        <v>0</v>
      </c>
      <c r="DP6" s="116">
        <f t="shared" si="3"/>
        <v>34.170372342094339</v>
      </c>
      <c r="DQ6" s="116">
        <f t="shared" si="4"/>
        <v>23.227272727272727</v>
      </c>
      <c r="DR6" s="116">
        <f t="shared" si="5"/>
        <v>9</v>
      </c>
    </row>
    <row r="7" spans="1:122" x14ac:dyDescent="0.25">
      <c r="A7" s="76">
        <v>462</v>
      </c>
      <c r="B7" s="76" t="s">
        <v>140</v>
      </c>
      <c r="C7" s="77" t="s">
        <v>141</v>
      </c>
      <c r="D7" s="41">
        <v>8</v>
      </c>
      <c r="E7" s="78">
        <v>478</v>
      </c>
      <c r="F7" s="78">
        <v>0</v>
      </c>
      <c r="G7" s="115">
        <f>'[8]FY20 Initial Budget Allocat (2)'!G7/'FY20 Initial Budget Allocat FTE'!G$121</f>
        <v>1</v>
      </c>
      <c r="H7" s="115">
        <f>'[8]FY20 Initial Budget Allocat (2)'!H7/'FY20 Initial Budget Allocat FTE'!H$121</f>
        <v>1</v>
      </c>
      <c r="I7" s="115">
        <f>'[8]FY20 Initial Budget Allocat (2)'!I7/'FY20 Initial Budget Allocat FTE'!I$121</f>
        <v>1.5933333333333333</v>
      </c>
      <c r="J7" s="115">
        <f>'[8]FY20 Initial Budget Allocat (2)'!J7/'FY20 Initial Budget Allocat FTE'!J$121</f>
        <v>0</v>
      </c>
      <c r="K7" s="115">
        <f>'[8]FY20 Initial Budget Allocat (2)'!K7/'FY20 Initial Budget Allocat FTE'!K$121</f>
        <v>1.6869942193947585</v>
      </c>
      <c r="L7" s="115">
        <f>'[8]FY20 Initial Budget Allocat (2)'!L7/'FY20 Initial Budget Allocat FTE'!L$121</f>
        <v>0</v>
      </c>
      <c r="M7" s="115">
        <f>'[8]FY20 Initial Budget Allocat (2)'!M7/'FY20 Initial Budget Allocat FTE'!M$121</f>
        <v>1</v>
      </c>
      <c r="N7" s="115">
        <f>'[8]FY20 Initial Budget Allocat (2)'!N7/'FY20 Initial Budget Allocat FTE'!N$121</f>
        <v>1.2</v>
      </c>
      <c r="O7" s="115">
        <f>'[8]FY20 Initial Budget Allocat (2)'!O7/'FY20 Initial Budget Allocat FTE'!O$121</f>
        <v>1</v>
      </c>
      <c r="P7" s="115">
        <f>'[8]FY20 Initial Budget Allocat (2)'!P7/'FY20 Initial Budget Allocat FTE'!P$121</f>
        <v>1</v>
      </c>
      <c r="Q7" s="115">
        <f>'[8]FY20 Initial Budget Allocat (2)'!Q7/'FY20 Initial Budget Allocat FTE'!Q$121</f>
        <v>0</v>
      </c>
      <c r="R7" s="115">
        <f>'[8]FY20 Initial Budget Allocat (2)'!R7/'FY20 Initial Budget Allocat FTE'!R$121</f>
        <v>1</v>
      </c>
      <c r="S7" s="115">
        <f>'[8]FY20 Initial Budget Allocat (2)'!S7/'FY20 Initial Budget Allocat FTE'!S$121</f>
        <v>1</v>
      </c>
      <c r="T7" s="115">
        <f>'[8]FY20 Initial Budget Allocat (2)'!T7/'FY20 Initial Budget Allocat FTE'!T$121</f>
        <v>1</v>
      </c>
      <c r="U7" s="115">
        <f>'[8]FY20 Initial Budget Allocat (2)'!U7/'FY20 Initial Budget Allocat FTE'!U$121</f>
        <v>0</v>
      </c>
      <c r="V7" s="115">
        <f>'[8]FY20 Initial Budget Allocat (2)'!V7/'FY20 Initial Budget Allocat FTE'!V$121</f>
        <v>0</v>
      </c>
      <c r="W7" s="115">
        <f>'[8]FY20 Initial Budget Allocat (2)'!W7/'FY20 Initial Budget Allocat FTE'!W$121</f>
        <v>0</v>
      </c>
      <c r="X7" s="115">
        <f>'[8]FY20 Initial Budget Allocat (2)'!X7/'FY20 Initial Budget Allocat FTE'!X$121</f>
        <v>0</v>
      </c>
      <c r="Y7" s="115">
        <f>'[8]FY20 Initial Budget Allocat (2)'!Y7/'FY20 Initial Budget Allocat FTE'!Y$121</f>
        <v>0</v>
      </c>
      <c r="Z7" s="115">
        <f>'[8]FY20 Initial Budget Allocat (2)'!Z7/'FY20 Initial Budget Allocat FTE'!Z$121</f>
        <v>0</v>
      </c>
      <c r="AA7" s="115">
        <f>'[8]FY20 Initial Budget Allocat (2)'!AA7/'FY20 Initial Budget Allocat FTE'!AA$121</f>
        <v>0</v>
      </c>
      <c r="AB7" s="115">
        <f>'[8]FY20 Initial Budget Allocat (2)'!AB7/'FY20 Initial Budget Allocat FTE'!AB$121</f>
        <v>0</v>
      </c>
      <c r="AC7" s="115">
        <f>'[8]FY20 Initial Budget Allocat (2)'!AC7/'FY20 Initial Budget Allocat FTE'!AC$121</f>
        <v>0</v>
      </c>
      <c r="AD7" s="115">
        <f>'[8]FY20 Initial Budget Allocat (2)'!AD7/'FY20 Initial Budget Allocat FTE'!AD$121</f>
        <v>0</v>
      </c>
      <c r="AE7" s="115">
        <f>'[8]FY20 Initial Budget Allocat (2)'!AE7/'FY20 Initial Budget Allocat FTE'!AE$121</f>
        <v>0</v>
      </c>
      <c r="AF7" s="115">
        <f>'[8]FY20 Initial Budget Allocat (2)'!AF7/'FY20 Initial Budget Allocat FTE'!AF$121</f>
        <v>0</v>
      </c>
      <c r="AG7" s="115">
        <f>'[8]FY20 Initial Budget Allocat (2)'!AG7/'FY20 Initial Budget Allocat FTE'!AG$121</f>
        <v>0</v>
      </c>
      <c r="AH7" s="115">
        <f>'[8]FY20 Initial Budget Allocat (2)'!AH7/'FY20 Initial Budget Allocat FTE'!AH$121</f>
        <v>0</v>
      </c>
      <c r="AI7" s="115">
        <f>'[8]FY20 Initial Budget Allocat (2)'!AI7/'FY20 Initial Budget Allocat FTE'!AI$121</f>
        <v>0</v>
      </c>
      <c r="AJ7" s="115">
        <f>'[8]FY20 Initial Budget Allocat (2)'!AJ7/'FY20 Initial Budget Allocat FTE'!AJ$121</f>
        <v>0</v>
      </c>
      <c r="AK7" s="115">
        <f>'[8]FY20 Initial Budget Allocat (2)'!AK7/'FY20 Initial Budget Allocat FTE'!AK$121</f>
        <v>0</v>
      </c>
      <c r="AL7" s="115">
        <f>'[8]FY20 Initial Budget Allocat (2)'!AL7/'FY20 Initial Budget Allocat FTE'!AL$121</f>
        <v>0</v>
      </c>
      <c r="AM7" s="115">
        <f>'[8]FY20 Initial Budget Allocat (2)'!AM7/'FY20 Initial Budget Allocat FTE'!AM$121</f>
        <v>0</v>
      </c>
      <c r="AN7" s="115">
        <f>'[8]FY20 Initial Budget Allocat (2)'!AN7/'FY20 Initial Budget Allocat FTE'!AN$121</f>
        <v>0</v>
      </c>
      <c r="AO7" s="115">
        <f>'[8]FY20 Initial Budget Allocat (2)'!AO7/'FY20 Initial Budget Allocat FTE'!AO$121</f>
        <v>0</v>
      </c>
      <c r="AP7" s="115">
        <f>'[8]FY20 Initial Budget Allocat (2)'!AP7/'FY20 Initial Budget Allocat FTE'!AP$121</f>
        <v>0</v>
      </c>
      <c r="AQ7" s="115">
        <f>'[8]FY20 Initial Budget Allocat (2)'!AQ7/'FY20 Initial Budget Allocat FTE'!AQ$121</f>
        <v>0</v>
      </c>
      <c r="AR7" s="115">
        <f>'[8]FY20 Initial Budget Allocat (2)'!AR7/'FY20 Initial Budget Allocat FTE'!AR$121</f>
        <v>0</v>
      </c>
      <c r="AS7" s="115">
        <f>'[8]FY20 Initial Budget Allocat (2)'!AS7/'FY20 Initial Budget Allocat FTE'!AS$121</f>
        <v>0</v>
      </c>
      <c r="AT7" s="115">
        <f>'[8]FY20 Initial Budget Allocat (2)'!AT7/'FY20 Initial Budget Allocat FTE'!AT$121</f>
        <v>0</v>
      </c>
      <c r="AU7" s="115">
        <f>'[8]FY20 Initial Budget Allocat (2)'!AU7/'FY20 Initial Budget Allocat FTE'!AU$121</f>
        <v>0</v>
      </c>
      <c r="AV7" s="115">
        <f>'[8]FY20 Initial Budget Allocat (2)'!AV7/'FY20 Initial Budget Allocat FTE'!AV$121</f>
        <v>17.416666666666664</v>
      </c>
      <c r="AW7" s="115">
        <f>'[8]FY20 Initial Budget Allocat (2)'!AW7/'FY20 Initial Budget Allocat FTE'!AW$121</f>
        <v>0</v>
      </c>
      <c r="AX7" s="115">
        <f>'[8]FY20 Initial Budget Allocat (2)'!AX7/'FY20 Initial Budget Allocat FTE'!AX$121</f>
        <v>0.5</v>
      </c>
      <c r="AY7" s="115">
        <f>'[8]FY20 Initial Budget Allocat (2)'!AY7/'FY20 Initial Budget Allocat FTE'!AY$121</f>
        <v>2</v>
      </c>
      <c r="AZ7" s="115">
        <f>'[8]FY20 Initial Budget Allocat (2)'!AZ7/'FY20 Initial Budget Allocat FTE'!AZ$121</f>
        <v>7</v>
      </c>
      <c r="BA7" s="115">
        <f>'[8]FY20 Initial Budget Allocat (2)'!BA7/'FY20 Initial Budget Allocat FTE'!BA$121</f>
        <v>2</v>
      </c>
      <c r="BB7" s="115">
        <f>'[8]FY20 Initial Budget Allocat (2)'!BB7/'FY20 Initial Budget Allocat FTE'!BB$121</f>
        <v>1</v>
      </c>
      <c r="BC7" s="115">
        <f>'[8]FY20 Initial Budget Allocat (2)'!BC7/'FY20 Initial Budget Allocat FTE'!BC$121</f>
        <v>0</v>
      </c>
      <c r="BD7" s="115">
        <f>'[8]FY20 Initial Budget Allocat (2)'!BD7/'FY20 Initial Budget Allocat FTE'!BD$121</f>
        <v>9.0909090909090912E-2</v>
      </c>
      <c r="BE7" s="115">
        <f>'[8]FY20 Initial Budget Allocat (2)'!BE7/'FY20 Initial Budget Allocat FTE'!BE$121</f>
        <v>0</v>
      </c>
      <c r="BF7" s="115">
        <f>'[8]FY20 Initial Budget Allocat (2)'!BF7/'FY20 Initial Budget Allocat FTE'!BF$121</f>
        <v>0</v>
      </c>
      <c r="BG7" s="115">
        <f>'[8]FY20 Initial Budget Allocat (2)'!BG7/'FY20 Initial Budget Allocat FTE'!BG$121</f>
        <v>0</v>
      </c>
      <c r="BH7" s="115">
        <f>'[8]FY20 Initial Budget Allocat (2)'!BH7/'FY20 Initial Budget Allocat FTE'!BH$121</f>
        <v>0</v>
      </c>
      <c r="BI7" s="115">
        <f>'[8]FY20 Initial Budget Allocat (2)'!BI7/'FY20 Initial Budget Allocat FTE'!BI$121</f>
        <v>0</v>
      </c>
      <c r="BJ7" s="79">
        <v>70000</v>
      </c>
      <c r="BK7" s="79">
        <v>0</v>
      </c>
      <c r="BL7" s="79"/>
      <c r="BM7" s="79">
        <v>0</v>
      </c>
      <c r="BN7" s="79">
        <v>0</v>
      </c>
      <c r="BO7" s="79">
        <v>12375</v>
      </c>
      <c r="BP7" s="115">
        <f>'[8]FY20 Initial Budget Allocat (2)'!BP7/'FY20 Initial Budget Allocat FTE'!BP$121</f>
        <v>0</v>
      </c>
      <c r="BQ7" s="115">
        <f>'[8]FY20 Initial Budget Allocat (2)'!BQ7/'FY20 Initial Budget Allocat FTE'!BQ$121</f>
        <v>0</v>
      </c>
      <c r="BR7" s="115">
        <f>'[8]FY20 Initial Budget Allocat (2)'!BR7/'FY20 Initial Budget Allocat FTE'!BR$121</f>
        <v>0</v>
      </c>
      <c r="BS7" s="115">
        <f>'[8]FY20 Initial Budget Allocat (2)'!BS7/'FY20 Initial Budget Allocat FTE'!BS$121</f>
        <v>0</v>
      </c>
      <c r="BT7" s="115">
        <f>'[8]FY20 Initial Budget Allocat (2)'!BT7/'FY20 Initial Budget Allocat FTE'!BT$121</f>
        <v>0</v>
      </c>
      <c r="BU7" s="115">
        <f>'[8]FY20 Initial Budget Allocat (2)'!BU7/'FY20 Initial Budget Allocat FTE'!BU$121</f>
        <v>0</v>
      </c>
      <c r="BV7" s="115">
        <f>'[8]FY20 Initial Budget Allocat (2)'!BV7/'FY20 Initial Budget Allocat FTE'!BV$121</f>
        <v>0</v>
      </c>
      <c r="BW7" s="80">
        <v>0</v>
      </c>
      <c r="BX7" s="80">
        <v>0</v>
      </c>
      <c r="BY7" s="80">
        <v>0</v>
      </c>
      <c r="BZ7" s="80">
        <v>0</v>
      </c>
      <c r="CA7" s="115">
        <f>'[8]FY20 Initial Budget Allocat (2)'!CA7/'FY20 Initial Budget Allocat FTE'!CA$121</f>
        <v>0</v>
      </c>
      <c r="CB7" s="115">
        <f>'[8]FY20 Initial Budget Allocat (2)'!CB7/'FY20 Initial Budget Allocat FTE'!CB$121</f>
        <v>0</v>
      </c>
      <c r="CC7" s="80">
        <v>0</v>
      </c>
      <c r="CD7" s="115">
        <f>'[8]FY20 Initial Budget Allocat (2)'!CD7/'FY20 Initial Budget Allocat FTE'!CD$121</f>
        <v>0</v>
      </c>
      <c r="CE7" s="115">
        <f>'[8]FY20 Initial Budget Allocat (2)'!CE7/'FY20 Initial Budget Allocat FTE'!CE$121</f>
        <v>0</v>
      </c>
      <c r="CF7" s="115">
        <f>'[8]FY20 Initial Budget Allocat (2)'!CF7/'FY20 Initial Budget Allocat FTE'!CF$121</f>
        <v>0</v>
      </c>
      <c r="CG7" s="115">
        <f>'[8]FY20 Initial Budget Allocat (2)'!CG7/'FY20 Initial Budget Allocat FTE'!CG$121</f>
        <v>0</v>
      </c>
      <c r="CH7" s="115">
        <f>'[8]FY20 Initial Budget Allocat (2)'!CH7/'FY20 Initial Budget Allocat FTE'!CH$121</f>
        <v>0</v>
      </c>
      <c r="CI7" s="115">
        <f>'[8]FY20 Initial Budget Allocat (2)'!CI7/'FY20 Initial Budget Allocat FTE'!CI$121</f>
        <v>0</v>
      </c>
      <c r="CJ7" s="115">
        <f>'[8]FY20 Initial Budget Allocat (2)'!CJ7/'FY20 Initial Budget Allocat FTE'!CJ$121</f>
        <v>0</v>
      </c>
      <c r="CK7" s="79">
        <v>0</v>
      </c>
      <c r="CL7" s="79">
        <v>0</v>
      </c>
      <c r="CM7" s="79">
        <v>227444.6</v>
      </c>
      <c r="CN7" s="79">
        <v>0</v>
      </c>
      <c r="CO7" s="115">
        <f>'[8]FY20 Initial Budget Allocat (2)'!CO7/'FY20 Initial Budget Allocat FTE'!CO$121</f>
        <v>0</v>
      </c>
      <c r="CP7" s="79">
        <v>0</v>
      </c>
      <c r="CQ7" s="79">
        <v>0</v>
      </c>
      <c r="CR7" s="79">
        <v>0</v>
      </c>
      <c r="CS7" s="79">
        <v>60174.5</v>
      </c>
      <c r="CT7" s="115">
        <f>'[8]FY20 Initial Budget Allocat (2)'!CT7/'FY20 Initial Budget Allocat FTE'!CT$121</f>
        <v>1</v>
      </c>
      <c r="CU7" s="115">
        <f>'[8]FY20 Initial Budget Allocat (2)'!CU7/'FY20 Initial Budget Allocat FTE'!CU$121</f>
        <v>0</v>
      </c>
      <c r="CV7" s="79">
        <v>150000</v>
      </c>
      <c r="CX7" s="115">
        <f>'[8]FY20 Initial Budget Allocat (2)'!CX7/'FY20 Initial Budget Allocat FTE'!CX$121</f>
        <v>0</v>
      </c>
      <c r="CY7" s="79">
        <v>0</v>
      </c>
      <c r="CZ7" s="79">
        <v>0</v>
      </c>
      <c r="DA7" s="79">
        <v>47800</v>
      </c>
      <c r="DB7" s="79">
        <v>68812.827449048113</v>
      </c>
      <c r="DC7" s="82">
        <v>0</v>
      </c>
      <c r="DD7" s="79">
        <v>0</v>
      </c>
      <c r="DE7" s="79">
        <v>5100</v>
      </c>
      <c r="DG7" s="79">
        <v>0</v>
      </c>
      <c r="DH7" s="83">
        <v>0</v>
      </c>
      <c r="DI7" s="93">
        <v>10284.091190126795</v>
      </c>
      <c r="DJ7" s="79">
        <v>4915795.5888806079</v>
      </c>
      <c r="DK7" s="84">
        <v>37811.411119392142</v>
      </c>
      <c r="DL7" s="84">
        <v>0</v>
      </c>
      <c r="DM7" s="84">
        <f t="shared" si="0"/>
        <v>4953607</v>
      </c>
      <c r="DN7" s="116">
        <f t="shared" si="1"/>
        <v>0</v>
      </c>
      <c r="DO7" s="116">
        <f t="shared" si="2"/>
        <v>0</v>
      </c>
      <c r="DP7" s="116">
        <f t="shared" si="3"/>
        <v>17.416666666666664</v>
      </c>
      <c r="DQ7" s="116">
        <f t="shared" si="4"/>
        <v>9.5909090909090917</v>
      </c>
      <c r="DR7" s="116">
        <f t="shared" si="5"/>
        <v>2</v>
      </c>
    </row>
    <row r="8" spans="1:122" x14ac:dyDescent="0.25">
      <c r="A8" s="76">
        <v>204</v>
      </c>
      <c r="B8" s="76" t="s">
        <v>143</v>
      </c>
      <c r="C8" s="77" t="s">
        <v>135</v>
      </c>
      <c r="D8" s="41">
        <v>1</v>
      </c>
      <c r="E8" s="78">
        <v>600</v>
      </c>
      <c r="F8" s="78">
        <v>230.26641651031895</v>
      </c>
      <c r="G8" s="115">
        <f>'[8]FY20 Initial Budget Allocat (2)'!G8/'FY20 Initial Budget Allocat FTE'!G$121</f>
        <v>1</v>
      </c>
      <c r="H8" s="115">
        <f>'[8]FY20 Initial Budget Allocat (2)'!H8/'FY20 Initial Budget Allocat FTE'!H$121</f>
        <v>1</v>
      </c>
      <c r="I8" s="115">
        <f>'[8]FY20 Initial Budget Allocat (2)'!I8/'FY20 Initial Budget Allocat FTE'!I$121</f>
        <v>1.5</v>
      </c>
      <c r="J8" s="115">
        <f>'[8]FY20 Initial Budget Allocat (2)'!J8/'FY20 Initial Budget Allocat FTE'!J$121</f>
        <v>0</v>
      </c>
      <c r="K8" s="115">
        <f>'[8]FY20 Initial Budget Allocat (2)'!K8/'FY20 Initial Budget Allocat FTE'!K$121</f>
        <v>0</v>
      </c>
      <c r="L8" s="115">
        <f>'[8]FY20 Initial Budget Allocat (2)'!L8/'FY20 Initial Budget Allocat FTE'!L$121</f>
        <v>1</v>
      </c>
      <c r="M8" s="115">
        <f>'[8]FY20 Initial Budget Allocat (2)'!M8/'FY20 Initial Budget Allocat FTE'!M$121</f>
        <v>1</v>
      </c>
      <c r="N8" s="115">
        <f>'[8]FY20 Initial Budget Allocat (2)'!N8/'FY20 Initial Budget Allocat FTE'!N$121</f>
        <v>1.5000000000000002</v>
      </c>
      <c r="O8" s="115">
        <f>'[8]FY20 Initial Budget Allocat (2)'!O8/'FY20 Initial Budget Allocat FTE'!O$121</f>
        <v>0</v>
      </c>
      <c r="P8" s="115">
        <f>'[8]FY20 Initial Budget Allocat (2)'!P8/'FY20 Initial Budget Allocat FTE'!P$121</f>
        <v>0</v>
      </c>
      <c r="Q8" s="115">
        <f>'[8]FY20 Initial Budget Allocat (2)'!Q8/'FY20 Initial Budget Allocat FTE'!Q$121</f>
        <v>0</v>
      </c>
      <c r="R8" s="115">
        <f>'[8]FY20 Initial Budget Allocat (2)'!R8/'FY20 Initial Budget Allocat FTE'!R$121</f>
        <v>1</v>
      </c>
      <c r="S8" s="115">
        <f>'[8]FY20 Initial Budget Allocat (2)'!S8/'FY20 Initial Budget Allocat FTE'!S$121</f>
        <v>1</v>
      </c>
      <c r="T8" s="115">
        <f>'[8]FY20 Initial Budget Allocat (2)'!T8/'FY20 Initial Budget Allocat FTE'!T$121</f>
        <v>4</v>
      </c>
      <c r="U8" s="115">
        <f>'[8]FY20 Initial Budget Allocat (2)'!U8/'FY20 Initial Budget Allocat FTE'!U$121</f>
        <v>1</v>
      </c>
      <c r="V8" s="115">
        <f>'[8]FY20 Initial Budget Allocat (2)'!V8/'FY20 Initial Budget Allocat FTE'!V$121</f>
        <v>1</v>
      </c>
      <c r="W8" s="115">
        <f>'[8]FY20 Initial Budget Allocat (2)'!W8/'FY20 Initial Budget Allocat FTE'!W$121</f>
        <v>1</v>
      </c>
      <c r="X8" s="115">
        <f>'[8]FY20 Initial Budget Allocat (2)'!X8/'FY20 Initial Budget Allocat FTE'!X$121</f>
        <v>1</v>
      </c>
      <c r="Y8" s="115">
        <f>'[8]FY20 Initial Budget Allocat (2)'!Y8/'FY20 Initial Budget Allocat FTE'!Y$121</f>
        <v>1.5000000000000002</v>
      </c>
      <c r="Z8" s="115">
        <f>'[8]FY20 Initial Budget Allocat (2)'!Z8/'FY20 Initial Budget Allocat FTE'!Z$121</f>
        <v>0</v>
      </c>
      <c r="AA8" s="115">
        <f>'[8]FY20 Initial Budget Allocat (2)'!AA8/'FY20 Initial Budget Allocat FTE'!AA$121</f>
        <v>3.0000000000000004</v>
      </c>
      <c r="AB8" s="115">
        <f>'[8]FY20 Initial Budget Allocat (2)'!AB8/'FY20 Initial Budget Allocat FTE'!AB$121</f>
        <v>3</v>
      </c>
      <c r="AC8" s="115">
        <f>'[8]FY20 Initial Budget Allocat (2)'!AC8/'FY20 Initial Budget Allocat FTE'!AC$121</f>
        <v>0</v>
      </c>
      <c r="AD8" s="115">
        <f>'[8]FY20 Initial Budget Allocat (2)'!AD8/'FY20 Initial Budget Allocat FTE'!AD$121</f>
        <v>0</v>
      </c>
      <c r="AE8" s="115">
        <f>'[8]FY20 Initial Budget Allocat (2)'!AE8/'FY20 Initial Budget Allocat FTE'!AE$121</f>
        <v>3.0000000000000004</v>
      </c>
      <c r="AF8" s="115">
        <f>'[8]FY20 Initial Budget Allocat (2)'!AF8/'FY20 Initial Budget Allocat FTE'!AF$121</f>
        <v>3</v>
      </c>
      <c r="AG8" s="115">
        <f>'[8]FY20 Initial Budget Allocat (2)'!AG8/'FY20 Initial Budget Allocat FTE'!AG$121</f>
        <v>4</v>
      </c>
      <c r="AH8" s="115">
        <f>'[8]FY20 Initial Budget Allocat (2)'!AH8/'FY20 Initial Budget Allocat FTE'!AH$121</f>
        <v>4</v>
      </c>
      <c r="AI8" s="115">
        <f>'[8]FY20 Initial Budget Allocat (2)'!AI8/'FY20 Initial Budget Allocat FTE'!AI$121</f>
        <v>4</v>
      </c>
      <c r="AJ8" s="115">
        <f>'[8]FY20 Initial Budget Allocat (2)'!AJ8/'FY20 Initial Budget Allocat FTE'!AJ$121</f>
        <v>4</v>
      </c>
      <c r="AK8" s="115">
        <f>'[8]FY20 Initial Budget Allocat (2)'!AK8/'FY20 Initial Budget Allocat FTE'!AK$121</f>
        <v>4</v>
      </c>
      <c r="AL8" s="115">
        <f>'[8]FY20 Initial Budget Allocat (2)'!AL8/'FY20 Initial Budget Allocat FTE'!AL$121</f>
        <v>3.0000000000000004</v>
      </c>
      <c r="AM8" s="115">
        <f>'[8]FY20 Initial Budget Allocat (2)'!AM8/'FY20 Initial Budget Allocat FTE'!AM$121</f>
        <v>3.0000000000000004</v>
      </c>
      <c r="AN8" s="115">
        <f>'[8]FY20 Initial Budget Allocat (2)'!AN8/'FY20 Initial Budget Allocat FTE'!AN$121</f>
        <v>0</v>
      </c>
      <c r="AO8" s="115">
        <f>'[8]FY20 Initial Budget Allocat (2)'!AO8/'FY20 Initial Budget Allocat FTE'!AO$121</f>
        <v>0</v>
      </c>
      <c r="AP8" s="115">
        <f>'[8]FY20 Initial Budget Allocat (2)'!AP8/'FY20 Initial Budget Allocat FTE'!AP$121</f>
        <v>0</v>
      </c>
      <c r="AQ8" s="115">
        <f>'[8]FY20 Initial Budget Allocat (2)'!AQ8/'FY20 Initial Budget Allocat FTE'!AQ$121</f>
        <v>0</v>
      </c>
      <c r="AR8" s="115">
        <f>'[8]FY20 Initial Budget Allocat (2)'!AR8/'FY20 Initial Budget Allocat FTE'!AR$121</f>
        <v>0</v>
      </c>
      <c r="AS8" s="115">
        <f>'[8]FY20 Initial Budget Allocat (2)'!AS8/'FY20 Initial Budget Allocat FTE'!AS$121</f>
        <v>0</v>
      </c>
      <c r="AT8" s="115">
        <f>'[8]FY20 Initial Budget Allocat (2)'!AT8/'FY20 Initial Budget Allocat FTE'!AT$121</f>
        <v>0</v>
      </c>
      <c r="AU8" s="115">
        <f>'[8]FY20 Initial Budget Allocat (2)'!AU8/'FY20 Initial Budget Allocat FTE'!AU$121</f>
        <v>0</v>
      </c>
      <c r="AV8" s="115">
        <f>'[8]FY20 Initial Budget Allocat (2)'!AV8/'FY20 Initial Budget Allocat FTE'!AV$121</f>
        <v>0</v>
      </c>
      <c r="AW8" s="115">
        <f>'[8]FY20 Initial Budget Allocat (2)'!AW8/'FY20 Initial Budget Allocat FTE'!AW$121</f>
        <v>0</v>
      </c>
      <c r="AX8" s="115">
        <f>'[8]FY20 Initial Budget Allocat (2)'!AX8/'FY20 Initial Budget Allocat FTE'!AX$121</f>
        <v>1</v>
      </c>
      <c r="AY8" s="115">
        <f>'[8]FY20 Initial Budget Allocat (2)'!AY8/'FY20 Initial Budget Allocat FTE'!AY$121</f>
        <v>2</v>
      </c>
      <c r="AZ8" s="115">
        <f>'[8]FY20 Initial Budget Allocat (2)'!AZ8/'FY20 Initial Budget Allocat FTE'!AZ$121</f>
        <v>8</v>
      </c>
      <c r="BA8" s="115">
        <f>'[8]FY20 Initial Budget Allocat (2)'!BA8/'FY20 Initial Budget Allocat FTE'!BA$121</f>
        <v>1</v>
      </c>
      <c r="BB8" s="115">
        <f>'[8]FY20 Initial Budget Allocat (2)'!BB8/'FY20 Initial Budget Allocat FTE'!BB$121</f>
        <v>0</v>
      </c>
      <c r="BC8" s="115">
        <f>'[8]FY20 Initial Budget Allocat (2)'!BC8/'FY20 Initial Budget Allocat FTE'!BC$121</f>
        <v>0</v>
      </c>
      <c r="BD8" s="115">
        <f>'[8]FY20 Initial Budget Allocat (2)'!BD8/'FY20 Initial Budget Allocat FTE'!BD$121</f>
        <v>14</v>
      </c>
      <c r="BE8" s="115">
        <f>'[8]FY20 Initial Budget Allocat (2)'!BE8/'FY20 Initial Budget Allocat FTE'!BE$121</f>
        <v>0</v>
      </c>
      <c r="BF8" s="115">
        <f>'[8]FY20 Initial Budget Allocat (2)'!BF8/'FY20 Initial Budget Allocat FTE'!BF$121</f>
        <v>3.0000000000000004</v>
      </c>
      <c r="BG8" s="115">
        <f>'[8]FY20 Initial Budget Allocat (2)'!BG8/'FY20 Initial Budget Allocat FTE'!BG$121</f>
        <v>1.0003341129301704</v>
      </c>
      <c r="BH8" s="115">
        <f>'[8]FY20 Initial Budget Allocat (2)'!BH8/'FY20 Initial Budget Allocat FTE'!BH$121</f>
        <v>6</v>
      </c>
      <c r="BI8" s="115">
        <f>'[8]FY20 Initial Budget Allocat (2)'!BI8/'FY20 Initial Budget Allocat FTE'!BI$121</f>
        <v>1</v>
      </c>
      <c r="BJ8" s="79"/>
      <c r="BK8" s="79">
        <v>0</v>
      </c>
      <c r="BL8" s="79">
        <v>29928</v>
      </c>
      <c r="BM8" s="79">
        <v>258611.69</v>
      </c>
      <c r="BN8" s="79">
        <v>4115.18</v>
      </c>
      <c r="BO8" s="79">
        <v>0</v>
      </c>
      <c r="BP8" s="115">
        <f>'[8]FY20 Initial Budget Allocat (2)'!BP8/'FY20 Initial Budget Allocat FTE'!BP$121</f>
        <v>0</v>
      </c>
      <c r="BQ8" s="115">
        <f>'[8]FY20 Initial Budget Allocat (2)'!BQ8/'FY20 Initial Budget Allocat FTE'!BQ$121</f>
        <v>0</v>
      </c>
      <c r="BR8" s="115">
        <f>'[8]FY20 Initial Budget Allocat (2)'!BR8/'FY20 Initial Budget Allocat FTE'!BR$121</f>
        <v>0</v>
      </c>
      <c r="BS8" s="115">
        <f>'[8]FY20 Initial Budget Allocat (2)'!BS8/'FY20 Initial Budget Allocat FTE'!BS$121</f>
        <v>0</v>
      </c>
      <c r="BT8" s="115">
        <f>'[8]FY20 Initial Budget Allocat (2)'!BT8/'FY20 Initial Budget Allocat FTE'!BT$121</f>
        <v>0</v>
      </c>
      <c r="BU8" s="115">
        <f>'[8]FY20 Initial Budget Allocat (2)'!BU8/'FY20 Initial Budget Allocat FTE'!BU$121</f>
        <v>0</v>
      </c>
      <c r="BV8" s="115">
        <f>'[8]FY20 Initial Budget Allocat (2)'!BV8/'FY20 Initial Budget Allocat FTE'!BV$121</f>
        <v>0</v>
      </c>
      <c r="BW8" s="80">
        <v>0</v>
      </c>
      <c r="BX8" s="80">
        <v>0</v>
      </c>
      <c r="BY8" s="80">
        <v>0</v>
      </c>
      <c r="BZ8" s="80">
        <v>0</v>
      </c>
      <c r="CA8" s="115">
        <f>'[8]FY20 Initial Budget Allocat (2)'!CA8/'FY20 Initial Budget Allocat FTE'!CA$121</f>
        <v>0</v>
      </c>
      <c r="CB8" s="115">
        <f>'[8]FY20 Initial Budget Allocat (2)'!CB8/'FY20 Initial Budget Allocat FTE'!CB$121</f>
        <v>0</v>
      </c>
      <c r="CC8" s="80">
        <v>0</v>
      </c>
      <c r="CD8" s="115">
        <f>'[8]FY20 Initial Budget Allocat (2)'!CD8/'FY20 Initial Budget Allocat FTE'!CD$121</f>
        <v>0</v>
      </c>
      <c r="CE8" s="115">
        <f>'[8]FY20 Initial Budget Allocat (2)'!CE8/'FY20 Initial Budget Allocat FTE'!CE$121</f>
        <v>0</v>
      </c>
      <c r="CF8" s="115">
        <f>'[8]FY20 Initial Budget Allocat (2)'!CF8/'FY20 Initial Budget Allocat FTE'!CF$121</f>
        <v>0</v>
      </c>
      <c r="CG8" s="115">
        <f>'[8]FY20 Initial Budget Allocat (2)'!CG8/'FY20 Initial Budget Allocat FTE'!CG$121</f>
        <v>0</v>
      </c>
      <c r="CH8" s="115">
        <f>'[8]FY20 Initial Budget Allocat (2)'!CH8/'FY20 Initial Budget Allocat FTE'!CH$121</f>
        <v>0</v>
      </c>
      <c r="CI8" s="115">
        <f>'[8]FY20 Initial Budget Allocat (2)'!CI8/'FY20 Initial Budget Allocat FTE'!CI$121</f>
        <v>0</v>
      </c>
      <c r="CJ8" s="115">
        <f>'[8]FY20 Initial Budget Allocat (2)'!CJ8/'FY20 Initial Budget Allocat FTE'!CJ$121</f>
        <v>0</v>
      </c>
      <c r="CK8" s="79">
        <v>0</v>
      </c>
      <c r="CL8" s="79">
        <v>0</v>
      </c>
      <c r="CM8" s="79">
        <v>108165.6</v>
      </c>
      <c r="CN8" s="79">
        <v>0</v>
      </c>
      <c r="CO8" s="115">
        <f>'[8]FY20 Initial Budget Allocat (2)'!CO8/'FY20 Initial Budget Allocat FTE'!CO$121</f>
        <v>0</v>
      </c>
      <c r="CP8" s="79">
        <v>0</v>
      </c>
      <c r="CQ8" s="79">
        <v>4605.3283302063792</v>
      </c>
      <c r="CR8" s="79">
        <v>0</v>
      </c>
      <c r="CS8" s="79">
        <v>35265.090909090912</v>
      </c>
      <c r="CT8" s="115">
        <f>'[8]FY20 Initial Budget Allocat (2)'!CT8/'FY20 Initial Budget Allocat FTE'!CT$121</f>
        <v>0</v>
      </c>
      <c r="CU8" s="115">
        <f>'[8]FY20 Initial Budget Allocat (2)'!CU8/'FY20 Initial Budget Allocat FTE'!CU$121</f>
        <v>0</v>
      </c>
      <c r="CV8" s="79"/>
      <c r="CW8" s="79">
        <v>0</v>
      </c>
      <c r="CX8" s="115">
        <f>'[8]FY20 Initial Budget Allocat (2)'!CX8/'FY20 Initial Budget Allocat FTE'!CX$121</f>
        <v>0</v>
      </c>
      <c r="CY8" s="79">
        <v>0</v>
      </c>
      <c r="CZ8" s="79">
        <v>0</v>
      </c>
      <c r="DA8" s="79">
        <v>60000</v>
      </c>
      <c r="DB8" s="79">
        <v>130563.45327951007</v>
      </c>
      <c r="DC8" s="82">
        <v>0</v>
      </c>
      <c r="DD8" s="79">
        <v>0</v>
      </c>
      <c r="DE8" s="79"/>
      <c r="DF8" s="79">
        <v>23750</v>
      </c>
      <c r="DG8" s="79">
        <v>0</v>
      </c>
      <c r="DH8" s="83">
        <v>0</v>
      </c>
      <c r="DI8" s="79">
        <v>14684.882670192843</v>
      </c>
      <c r="DJ8" s="79">
        <v>8810929.6021157056</v>
      </c>
      <c r="DK8" s="84">
        <v>-2.1157059818506241E-3</v>
      </c>
      <c r="DL8" s="84">
        <v>0</v>
      </c>
      <c r="DM8" s="84">
        <f t="shared" si="0"/>
        <v>8810929.5999999996</v>
      </c>
      <c r="DN8" s="116">
        <f t="shared" si="1"/>
        <v>10</v>
      </c>
      <c r="DO8" s="116">
        <f t="shared" si="2"/>
        <v>10</v>
      </c>
      <c r="DP8" s="116">
        <f t="shared" si="3"/>
        <v>18</v>
      </c>
      <c r="DQ8" s="116">
        <f t="shared" si="4"/>
        <v>28</v>
      </c>
      <c r="DR8" s="116">
        <f t="shared" si="5"/>
        <v>1</v>
      </c>
    </row>
    <row r="9" spans="1:122" x14ac:dyDescent="0.25">
      <c r="A9" s="76">
        <v>1058</v>
      </c>
      <c r="B9" s="76" t="s">
        <v>144</v>
      </c>
      <c r="C9" s="77" t="s">
        <v>138</v>
      </c>
      <c r="D9" s="41">
        <v>7</v>
      </c>
      <c r="E9" s="78">
        <v>150</v>
      </c>
      <c r="F9" s="78">
        <v>79</v>
      </c>
      <c r="G9" s="115">
        <f>'[8]FY20 Initial Budget Allocat (2)'!G9/'FY20 Initial Budget Allocat FTE'!G$121</f>
        <v>0.99999930616302479</v>
      </c>
      <c r="H9" s="115">
        <f>'[8]FY20 Initial Budget Allocat (2)'!H9/'FY20 Initial Budget Allocat FTE'!H$121</f>
        <v>0</v>
      </c>
      <c r="I9" s="115">
        <f>'[8]FY20 Initial Budget Allocat (2)'!I9/'FY20 Initial Budget Allocat FTE'!I$121</f>
        <v>1.9999968637580541</v>
      </c>
      <c r="J9" s="115">
        <f>'[8]FY20 Initial Budget Allocat (2)'!J9/'FY20 Initial Budget Allocat FTE'!J$121</f>
        <v>0</v>
      </c>
      <c r="K9" s="115">
        <f>'[8]FY20 Initial Budget Allocat (2)'!K9/'FY20 Initial Budget Allocat FTE'!K$121</f>
        <v>1</v>
      </c>
      <c r="L9" s="115">
        <f>'[8]FY20 Initial Budget Allocat (2)'!L9/'FY20 Initial Budget Allocat FTE'!L$121</f>
        <v>0</v>
      </c>
      <c r="M9" s="115">
        <f>'[8]FY20 Initial Budget Allocat (2)'!M9/'FY20 Initial Budget Allocat FTE'!M$121</f>
        <v>1.0000054554423112</v>
      </c>
      <c r="N9" s="115">
        <f>'[8]FY20 Initial Budget Allocat (2)'!N9/'FY20 Initial Budget Allocat FTE'!N$121</f>
        <v>0</v>
      </c>
      <c r="O9" s="115">
        <f>'[8]FY20 Initial Budget Allocat (2)'!O9/'FY20 Initial Budget Allocat FTE'!O$121</f>
        <v>0</v>
      </c>
      <c r="P9" s="115">
        <f>'[8]FY20 Initial Budget Allocat (2)'!P9/'FY20 Initial Budget Allocat FTE'!P$121</f>
        <v>0</v>
      </c>
      <c r="Q9" s="115">
        <f>'[8]FY20 Initial Budget Allocat (2)'!Q9/'FY20 Initial Budget Allocat FTE'!Q$121</f>
        <v>0</v>
      </c>
      <c r="R9" s="115">
        <f>'[8]FY20 Initial Budget Allocat (2)'!R9/'FY20 Initial Budget Allocat FTE'!R$121</f>
        <v>1.0000023531717535</v>
      </c>
      <c r="S9" s="115">
        <f>'[8]FY20 Initial Budget Allocat (2)'!S9/'FY20 Initial Budget Allocat FTE'!S$121</f>
        <v>0.99999292053666322</v>
      </c>
      <c r="T9" s="115">
        <f>'[8]FY20 Initial Budget Allocat (2)'!T9/'FY20 Initial Budget Allocat FTE'!T$121</f>
        <v>1.0000053770435453</v>
      </c>
      <c r="U9" s="115">
        <f>'[8]FY20 Initial Budget Allocat (2)'!U9/'FY20 Initial Budget Allocat FTE'!U$121</f>
        <v>0.4999987343638525</v>
      </c>
      <c r="V9" s="115">
        <f>'[8]FY20 Initial Budget Allocat (2)'!V9/'FY20 Initial Budget Allocat FTE'!V$121</f>
        <v>0</v>
      </c>
      <c r="W9" s="115">
        <f>'[8]FY20 Initial Budget Allocat (2)'!W9/'FY20 Initial Budget Allocat FTE'!W$121</f>
        <v>0</v>
      </c>
      <c r="X9" s="115">
        <f>'[8]FY20 Initial Budget Allocat (2)'!X9/'FY20 Initial Budget Allocat FTE'!X$121</f>
        <v>0</v>
      </c>
      <c r="Y9" s="115">
        <f>'[8]FY20 Initial Budget Allocat (2)'!Y9/'FY20 Initial Budget Allocat FTE'!Y$121</f>
        <v>0</v>
      </c>
      <c r="Z9" s="115">
        <f>'[8]FY20 Initial Budget Allocat (2)'!Z9/'FY20 Initial Budget Allocat FTE'!Z$121</f>
        <v>0</v>
      </c>
      <c r="AA9" s="115">
        <f>'[8]FY20 Initial Budget Allocat (2)'!AA9/'FY20 Initial Budget Allocat FTE'!AA$121</f>
        <v>0</v>
      </c>
      <c r="AB9" s="115">
        <f>'[8]FY20 Initial Budget Allocat (2)'!AB9/'FY20 Initial Budget Allocat FTE'!AB$121</f>
        <v>0</v>
      </c>
      <c r="AC9" s="115">
        <f>'[8]FY20 Initial Budget Allocat (2)'!AC9/'FY20 Initial Budget Allocat FTE'!AC$121</f>
        <v>0</v>
      </c>
      <c r="AD9" s="115">
        <f>'[8]FY20 Initial Budget Allocat (2)'!AD9/'FY20 Initial Budget Allocat FTE'!AD$121</f>
        <v>0</v>
      </c>
      <c r="AE9" s="115">
        <f>'[8]FY20 Initial Budget Allocat (2)'!AE9/'FY20 Initial Budget Allocat FTE'!AE$121</f>
        <v>0</v>
      </c>
      <c r="AF9" s="115">
        <f>'[8]FY20 Initial Budget Allocat (2)'!AF9/'FY20 Initial Budget Allocat FTE'!AF$121</f>
        <v>0</v>
      </c>
      <c r="AG9" s="115">
        <f>'[8]FY20 Initial Budget Allocat (2)'!AG9/'FY20 Initial Budget Allocat FTE'!AG$121</f>
        <v>0</v>
      </c>
      <c r="AH9" s="115">
        <f>'[8]FY20 Initial Budget Allocat (2)'!AH9/'FY20 Initial Budget Allocat FTE'!AH$121</f>
        <v>0</v>
      </c>
      <c r="AI9" s="115">
        <f>'[8]FY20 Initial Budget Allocat (2)'!AI9/'FY20 Initial Budget Allocat FTE'!AI$121</f>
        <v>0</v>
      </c>
      <c r="AJ9" s="115">
        <f>'[8]FY20 Initial Budget Allocat (2)'!AJ9/'FY20 Initial Budget Allocat FTE'!AJ$121</f>
        <v>0</v>
      </c>
      <c r="AK9" s="115">
        <f>'[8]FY20 Initial Budget Allocat (2)'!AK9/'FY20 Initial Budget Allocat FTE'!AK$121</f>
        <v>0</v>
      </c>
      <c r="AL9" s="115">
        <f>'[8]FY20 Initial Budget Allocat (2)'!AL9/'FY20 Initial Budget Allocat FTE'!AL$121</f>
        <v>0</v>
      </c>
      <c r="AM9" s="115">
        <f>'[8]FY20 Initial Budget Allocat (2)'!AM9/'FY20 Initial Budget Allocat FTE'!AM$121</f>
        <v>0</v>
      </c>
      <c r="AN9" s="115">
        <f>'[8]FY20 Initial Budget Allocat (2)'!AN9/'FY20 Initial Budget Allocat FTE'!AN$121</f>
        <v>0</v>
      </c>
      <c r="AO9" s="115">
        <f>'[8]FY20 Initial Budget Allocat (2)'!AO9/'FY20 Initial Budget Allocat FTE'!AO$121</f>
        <v>0</v>
      </c>
      <c r="AP9" s="115">
        <f>'[8]FY20 Initial Budget Allocat (2)'!AP9/'FY20 Initial Budget Allocat FTE'!AP$121</f>
        <v>0</v>
      </c>
      <c r="AQ9" s="115">
        <f>'[8]FY20 Initial Budget Allocat (2)'!AQ9/'FY20 Initial Budget Allocat FTE'!AQ$121</f>
        <v>0</v>
      </c>
      <c r="AR9" s="115">
        <f>'[8]FY20 Initial Budget Allocat (2)'!AR9/'FY20 Initial Budget Allocat FTE'!AR$121</f>
        <v>0</v>
      </c>
      <c r="AS9" s="115">
        <f>'[8]FY20 Initial Budget Allocat (2)'!AS9/'FY20 Initial Budget Allocat FTE'!AS$121</f>
        <v>0</v>
      </c>
      <c r="AT9" s="115">
        <f>'[8]FY20 Initial Budget Allocat (2)'!AT9/'FY20 Initial Budget Allocat FTE'!AT$121</f>
        <v>0</v>
      </c>
      <c r="AU9" s="115">
        <f>'[8]FY20 Initial Budget Allocat (2)'!AU9/'FY20 Initial Budget Allocat FTE'!AU$121</f>
        <v>0</v>
      </c>
      <c r="AV9" s="115">
        <f>'[8]FY20 Initial Budget Allocat (2)'!AV9/'FY20 Initial Budget Allocat FTE'!AV$121</f>
        <v>6.2500000000000009</v>
      </c>
      <c r="AW9" s="115">
        <f>'[8]FY20 Initial Budget Allocat (2)'!AW9/'FY20 Initial Budget Allocat FTE'!AW$121</f>
        <v>4.7499721560047545</v>
      </c>
      <c r="AX9" s="115">
        <f>'[8]FY20 Initial Budget Allocat (2)'!AX9/'FY20 Initial Budget Allocat FTE'!AX$121</f>
        <v>0.99999746872770501</v>
      </c>
      <c r="AY9" s="115">
        <f>'[8]FY20 Initial Budget Allocat (2)'!AY9/'FY20 Initial Budget Allocat FTE'!AY$121</f>
        <v>0.99999746872770501</v>
      </c>
      <c r="AZ9" s="115">
        <f>'[8]FY20 Initial Budget Allocat (2)'!AZ9/'FY20 Initial Budget Allocat FTE'!AZ$121</f>
        <v>0.99999746872770501</v>
      </c>
      <c r="BA9" s="115">
        <f>'[8]FY20 Initial Budget Allocat (2)'!BA9/'FY20 Initial Budget Allocat FTE'!BA$121</f>
        <v>0</v>
      </c>
      <c r="BB9" s="115">
        <f>'[8]FY20 Initial Budget Allocat (2)'!BB9/'FY20 Initial Budget Allocat FTE'!BB$121</f>
        <v>0</v>
      </c>
      <c r="BC9" s="115">
        <f>'[8]FY20 Initial Budget Allocat (2)'!BC9/'FY20 Initial Budget Allocat FTE'!BC$121</f>
        <v>0</v>
      </c>
      <c r="BD9" s="115">
        <f>'[8]FY20 Initial Budget Allocat (2)'!BD9/'FY20 Initial Budget Allocat FTE'!BD$121</f>
        <v>0</v>
      </c>
      <c r="BE9" s="115">
        <f>'[8]FY20 Initial Budget Allocat (2)'!BE9/'FY20 Initial Budget Allocat FTE'!BE$121</f>
        <v>0</v>
      </c>
      <c r="BF9" s="115">
        <f>'[8]FY20 Initial Budget Allocat (2)'!BF9/'FY20 Initial Budget Allocat FTE'!BF$121</f>
        <v>0</v>
      </c>
      <c r="BG9" s="115">
        <f>'[8]FY20 Initial Budget Allocat (2)'!BG9/'FY20 Initial Budget Allocat FTE'!BG$121</f>
        <v>0</v>
      </c>
      <c r="BH9" s="115">
        <f>'[8]FY20 Initial Budget Allocat (2)'!BH9/'FY20 Initial Budget Allocat FTE'!BH$121</f>
        <v>0</v>
      </c>
      <c r="BI9" s="115">
        <f>'[8]FY20 Initial Budget Allocat (2)'!BI9/'FY20 Initial Budget Allocat FTE'!BI$121</f>
        <v>0</v>
      </c>
      <c r="BJ9" s="79"/>
      <c r="BK9" s="79"/>
      <c r="BM9" s="79">
        <v>59423.64</v>
      </c>
      <c r="BN9" s="79">
        <v>945.58</v>
      </c>
      <c r="BO9" s="79">
        <v>0</v>
      </c>
      <c r="BP9" s="115">
        <f>'[8]FY20 Initial Budget Allocat (2)'!BP9/'FY20 Initial Budget Allocat FTE'!BP$121</f>
        <v>0</v>
      </c>
      <c r="BQ9" s="115">
        <f>'[8]FY20 Initial Budget Allocat (2)'!BQ9/'FY20 Initial Budget Allocat FTE'!BQ$121</f>
        <v>0</v>
      </c>
      <c r="BR9" s="115">
        <f>'[8]FY20 Initial Budget Allocat (2)'!BR9/'FY20 Initial Budget Allocat FTE'!BR$121</f>
        <v>0</v>
      </c>
      <c r="BS9" s="115">
        <f>'[8]FY20 Initial Budget Allocat (2)'!BS9/'FY20 Initial Budget Allocat FTE'!BS$121</f>
        <v>0</v>
      </c>
      <c r="BT9" s="115">
        <f>'[8]FY20 Initial Budget Allocat (2)'!BT9/'FY20 Initial Budget Allocat FTE'!BT$121</f>
        <v>0</v>
      </c>
      <c r="BU9" s="115">
        <f>'[8]FY20 Initial Budget Allocat (2)'!BU9/'FY20 Initial Budget Allocat FTE'!BU$121</f>
        <v>0</v>
      </c>
      <c r="BV9" s="115">
        <f>'[8]FY20 Initial Budget Allocat (2)'!BV9/'FY20 Initial Budget Allocat FTE'!BV$121</f>
        <v>0</v>
      </c>
      <c r="BW9" s="80">
        <v>0</v>
      </c>
      <c r="BX9" s="80">
        <v>0</v>
      </c>
      <c r="BY9" s="80">
        <v>0</v>
      </c>
      <c r="BZ9" s="80">
        <v>0</v>
      </c>
      <c r="CA9" s="115">
        <f>'[8]FY20 Initial Budget Allocat (2)'!CA9/'FY20 Initial Budget Allocat FTE'!CA$121</f>
        <v>0</v>
      </c>
      <c r="CB9" s="115">
        <f>'[8]FY20 Initial Budget Allocat (2)'!CB9/'FY20 Initial Budget Allocat FTE'!CB$121</f>
        <v>0</v>
      </c>
      <c r="CC9" s="80">
        <v>0</v>
      </c>
      <c r="CD9" s="115">
        <f>'[8]FY20 Initial Budget Allocat (2)'!CD9/'FY20 Initial Budget Allocat FTE'!CD$121</f>
        <v>0</v>
      </c>
      <c r="CE9" s="115">
        <f>'[8]FY20 Initial Budget Allocat (2)'!CE9/'FY20 Initial Budget Allocat FTE'!CE$121</f>
        <v>0</v>
      </c>
      <c r="CF9" s="115">
        <f>'[8]FY20 Initial Budget Allocat (2)'!CF9/'FY20 Initial Budget Allocat FTE'!CF$121</f>
        <v>0</v>
      </c>
      <c r="CG9" s="115">
        <f>'[8]FY20 Initial Budget Allocat (2)'!CG9/'FY20 Initial Budget Allocat FTE'!CG$121</f>
        <v>0</v>
      </c>
      <c r="CH9" s="115">
        <f>'[8]FY20 Initial Budget Allocat (2)'!CH9/'FY20 Initial Budget Allocat FTE'!CH$121</f>
        <v>0</v>
      </c>
      <c r="CI9" s="115">
        <f>'[8]FY20 Initial Budget Allocat (2)'!CI9/'FY20 Initial Budget Allocat FTE'!CI$121</f>
        <v>0</v>
      </c>
      <c r="CJ9" s="115">
        <f>'[8]FY20 Initial Budget Allocat (2)'!CJ9/'FY20 Initial Budget Allocat FTE'!CJ$121</f>
        <v>0</v>
      </c>
      <c r="CK9" s="79"/>
      <c r="CL9" s="79"/>
      <c r="CM9" s="79">
        <v>227444.6</v>
      </c>
      <c r="CN9" s="79"/>
      <c r="CO9" s="115">
        <f>'[8]FY20 Initial Budget Allocat (2)'!CO9/'FY20 Initial Budget Allocat FTE'!CO$121</f>
        <v>0</v>
      </c>
      <c r="CP9" s="79">
        <v>0</v>
      </c>
      <c r="CQ9" s="79"/>
      <c r="CR9" s="79"/>
      <c r="CS9" s="79"/>
      <c r="CT9" s="115">
        <f>'[8]FY20 Initial Budget Allocat (2)'!CT9/'FY20 Initial Budget Allocat FTE'!CT$121</f>
        <v>0</v>
      </c>
      <c r="CU9" s="115">
        <f>'[8]FY20 Initial Budget Allocat (2)'!CU9/'FY20 Initial Budget Allocat FTE'!CU$121</f>
        <v>0</v>
      </c>
      <c r="CV9" s="79"/>
      <c r="CW9" s="79"/>
      <c r="CX9" s="115">
        <f>'[8]FY20 Initial Budget Allocat (2)'!CX9/'FY20 Initial Budget Allocat FTE'!CX$121</f>
        <v>0</v>
      </c>
      <c r="CY9" s="96"/>
      <c r="CZ9" s="79"/>
      <c r="DA9" s="79">
        <v>133703</v>
      </c>
      <c r="DB9" s="79"/>
      <c r="DC9" s="82">
        <v>0</v>
      </c>
      <c r="DD9" s="79">
        <v>483130</v>
      </c>
      <c r="DE9" s="79"/>
      <c r="DF9" s="79">
        <v>0</v>
      </c>
      <c r="DG9" s="79">
        <v>0</v>
      </c>
      <c r="DH9" s="83">
        <v>0</v>
      </c>
      <c r="DI9" s="79">
        <v>21843</v>
      </c>
      <c r="DJ9" s="79">
        <v>3291941.8200000003</v>
      </c>
      <c r="DK9" s="84">
        <v>-603525.8200000003</v>
      </c>
      <c r="DL9" s="84">
        <v>0</v>
      </c>
      <c r="DM9" s="84">
        <f t="shared" si="0"/>
        <v>2688416</v>
      </c>
      <c r="DN9" s="116">
        <f t="shared" si="1"/>
        <v>0</v>
      </c>
      <c r="DO9" s="116">
        <f t="shared" si="2"/>
        <v>0</v>
      </c>
      <c r="DP9" s="116">
        <f t="shared" si="3"/>
        <v>10.999972156004755</v>
      </c>
      <c r="DQ9" s="116">
        <f t="shared" si="4"/>
        <v>2.9999924061831149</v>
      </c>
      <c r="DR9" s="116">
        <f t="shared" si="5"/>
        <v>0</v>
      </c>
    </row>
    <row r="10" spans="1:122" x14ac:dyDescent="0.25">
      <c r="A10" s="76">
        <v>205</v>
      </c>
      <c r="B10" s="76" t="s">
        <v>145</v>
      </c>
      <c r="C10" s="77" t="s">
        <v>135</v>
      </c>
      <c r="D10" s="41">
        <v>4</v>
      </c>
      <c r="E10" s="78">
        <v>600</v>
      </c>
      <c r="F10" s="78">
        <v>310.46153846153845</v>
      </c>
      <c r="G10" s="115">
        <f>'[8]FY20 Initial Budget Allocat (2)'!G10/'FY20 Initial Budget Allocat FTE'!G$121</f>
        <v>0.99999930616302479</v>
      </c>
      <c r="H10" s="115">
        <f>'[8]FY20 Initial Budget Allocat (2)'!H10/'FY20 Initial Budget Allocat FTE'!H$121</f>
        <v>1</v>
      </c>
      <c r="I10" s="115">
        <f>'[8]FY20 Initial Budget Allocat (2)'!I10/'FY20 Initial Budget Allocat FTE'!I$121</f>
        <v>1.5</v>
      </c>
      <c r="J10" s="115">
        <f>'[8]FY20 Initial Budget Allocat (2)'!J10/'FY20 Initial Budget Allocat FTE'!J$121</f>
        <v>0</v>
      </c>
      <c r="K10" s="115">
        <f>'[8]FY20 Initial Budget Allocat (2)'!K10/'FY20 Initial Budget Allocat FTE'!K$121</f>
        <v>0</v>
      </c>
      <c r="L10" s="115">
        <f>'[8]FY20 Initial Budget Allocat (2)'!L10/'FY20 Initial Budget Allocat FTE'!L$121</f>
        <v>1</v>
      </c>
      <c r="M10" s="115">
        <f>'[8]FY20 Initial Budget Allocat (2)'!M10/'FY20 Initial Budget Allocat FTE'!M$121</f>
        <v>1</v>
      </c>
      <c r="N10" s="115">
        <f>'[8]FY20 Initial Budget Allocat (2)'!N10/'FY20 Initial Budget Allocat FTE'!N$121</f>
        <v>1.5000000000000002</v>
      </c>
      <c r="O10" s="115">
        <f>'[8]FY20 Initial Budget Allocat (2)'!O10/'FY20 Initial Budget Allocat FTE'!O$121</f>
        <v>0</v>
      </c>
      <c r="P10" s="115">
        <f>'[8]FY20 Initial Budget Allocat (2)'!P10/'FY20 Initial Budget Allocat FTE'!P$121</f>
        <v>0</v>
      </c>
      <c r="Q10" s="115">
        <f>'[8]FY20 Initial Budget Allocat (2)'!Q10/'FY20 Initial Budget Allocat FTE'!Q$121</f>
        <v>0</v>
      </c>
      <c r="R10" s="115">
        <f>'[8]FY20 Initial Budget Allocat (2)'!R10/'FY20 Initial Budget Allocat FTE'!R$121</f>
        <v>1</v>
      </c>
      <c r="S10" s="115">
        <f>'[8]FY20 Initial Budget Allocat (2)'!S10/'FY20 Initial Budget Allocat FTE'!S$121</f>
        <v>1</v>
      </c>
      <c r="T10" s="115">
        <f>'[8]FY20 Initial Budget Allocat (2)'!T10/'FY20 Initial Budget Allocat FTE'!T$121</f>
        <v>3</v>
      </c>
      <c r="U10" s="115">
        <f>'[8]FY20 Initial Budget Allocat (2)'!U10/'FY20 Initial Budget Allocat FTE'!U$121</f>
        <v>1</v>
      </c>
      <c r="V10" s="115">
        <f>'[8]FY20 Initial Budget Allocat (2)'!V10/'FY20 Initial Budget Allocat FTE'!V$121</f>
        <v>1</v>
      </c>
      <c r="W10" s="115">
        <f>'[8]FY20 Initial Budget Allocat (2)'!W10/'FY20 Initial Budget Allocat FTE'!W$121</f>
        <v>1</v>
      </c>
      <c r="X10" s="115">
        <f>'[8]FY20 Initial Budget Allocat (2)'!X10/'FY20 Initial Budget Allocat FTE'!X$121</f>
        <v>1</v>
      </c>
      <c r="Y10" s="115">
        <f>'[8]FY20 Initial Budget Allocat (2)'!Y10/'FY20 Initial Budget Allocat FTE'!Y$121</f>
        <v>1.5000000000000002</v>
      </c>
      <c r="Z10" s="115">
        <f>'[8]FY20 Initial Budget Allocat (2)'!Z10/'FY20 Initial Budget Allocat FTE'!Z$121</f>
        <v>0</v>
      </c>
      <c r="AA10" s="115">
        <f>'[8]FY20 Initial Budget Allocat (2)'!AA10/'FY20 Initial Budget Allocat FTE'!AA$121</f>
        <v>4</v>
      </c>
      <c r="AB10" s="115">
        <f>'[8]FY20 Initial Budget Allocat (2)'!AB10/'FY20 Initial Budget Allocat FTE'!AB$121</f>
        <v>4</v>
      </c>
      <c r="AC10" s="115">
        <f>'[8]FY20 Initial Budget Allocat (2)'!AC10/'FY20 Initial Budget Allocat FTE'!AC$121</f>
        <v>0</v>
      </c>
      <c r="AD10" s="115">
        <f>'[8]FY20 Initial Budget Allocat (2)'!AD10/'FY20 Initial Budget Allocat FTE'!AD$121</f>
        <v>0</v>
      </c>
      <c r="AE10" s="115">
        <f>'[8]FY20 Initial Budget Allocat (2)'!AE10/'FY20 Initial Budget Allocat FTE'!AE$121</f>
        <v>4</v>
      </c>
      <c r="AF10" s="115">
        <f>'[8]FY20 Initial Budget Allocat (2)'!AF10/'FY20 Initial Budget Allocat FTE'!AF$121</f>
        <v>4</v>
      </c>
      <c r="AG10" s="115">
        <f>'[8]FY20 Initial Budget Allocat (2)'!AG10/'FY20 Initial Budget Allocat FTE'!AG$121</f>
        <v>4</v>
      </c>
      <c r="AH10" s="115">
        <f>'[8]FY20 Initial Budget Allocat (2)'!AH10/'FY20 Initial Budget Allocat FTE'!AH$121</f>
        <v>4</v>
      </c>
      <c r="AI10" s="115">
        <f>'[8]FY20 Initial Budget Allocat (2)'!AI10/'FY20 Initial Budget Allocat FTE'!AI$121</f>
        <v>4</v>
      </c>
      <c r="AJ10" s="115">
        <f>'[8]FY20 Initial Budget Allocat (2)'!AJ10/'FY20 Initial Budget Allocat FTE'!AJ$121</f>
        <v>4</v>
      </c>
      <c r="AK10" s="115">
        <f>'[8]FY20 Initial Budget Allocat (2)'!AK10/'FY20 Initial Budget Allocat FTE'!AK$121</f>
        <v>3.0000000000000004</v>
      </c>
      <c r="AL10" s="115">
        <f>'[8]FY20 Initial Budget Allocat (2)'!AL10/'FY20 Initial Budget Allocat FTE'!AL$121</f>
        <v>3.0000000000000004</v>
      </c>
      <c r="AM10" s="115">
        <f>'[8]FY20 Initial Budget Allocat (2)'!AM10/'FY20 Initial Budget Allocat FTE'!AM$121</f>
        <v>4</v>
      </c>
      <c r="AN10" s="115">
        <f>'[8]FY20 Initial Budget Allocat (2)'!AN10/'FY20 Initial Budget Allocat FTE'!AN$121</f>
        <v>0</v>
      </c>
      <c r="AO10" s="115">
        <f>'[8]FY20 Initial Budget Allocat (2)'!AO10/'FY20 Initial Budget Allocat FTE'!AO$121</f>
        <v>0</v>
      </c>
      <c r="AP10" s="115">
        <f>'[8]FY20 Initial Budget Allocat (2)'!AP10/'FY20 Initial Budget Allocat FTE'!AP$121</f>
        <v>0</v>
      </c>
      <c r="AQ10" s="115">
        <f>'[8]FY20 Initial Budget Allocat (2)'!AQ10/'FY20 Initial Budget Allocat FTE'!AQ$121</f>
        <v>0</v>
      </c>
      <c r="AR10" s="115">
        <f>'[8]FY20 Initial Budget Allocat (2)'!AR10/'FY20 Initial Budget Allocat FTE'!AR$121</f>
        <v>0</v>
      </c>
      <c r="AS10" s="115">
        <f>'[8]FY20 Initial Budget Allocat (2)'!AS10/'FY20 Initial Budget Allocat FTE'!AS$121</f>
        <v>0</v>
      </c>
      <c r="AT10" s="115">
        <f>'[8]FY20 Initial Budget Allocat (2)'!AT10/'FY20 Initial Budget Allocat FTE'!AT$121</f>
        <v>0</v>
      </c>
      <c r="AU10" s="115">
        <f>'[8]FY20 Initial Budget Allocat (2)'!AU10/'FY20 Initial Budget Allocat FTE'!AU$121</f>
        <v>0</v>
      </c>
      <c r="AV10" s="115">
        <f>'[8]FY20 Initial Budget Allocat (2)'!AV10/'FY20 Initial Budget Allocat FTE'!AV$121</f>
        <v>0</v>
      </c>
      <c r="AW10" s="115">
        <f>'[8]FY20 Initial Budget Allocat (2)'!AW10/'FY20 Initial Budget Allocat FTE'!AW$121</f>
        <v>0</v>
      </c>
      <c r="AX10" s="115">
        <f>'[8]FY20 Initial Budget Allocat (2)'!AX10/'FY20 Initial Budget Allocat FTE'!AX$121</f>
        <v>1</v>
      </c>
      <c r="AY10" s="115">
        <f>'[8]FY20 Initial Budget Allocat (2)'!AY10/'FY20 Initial Budget Allocat FTE'!AY$121</f>
        <v>2</v>
      </c>
      <c r="AZ10" s="115">
        <f>'[8]FY20 Initial Budget Allocat (2)'!AZ10/'FY20 Initial Budget Allocat FTE'!AZ$121</f>
        <v>8</v>
      </c>
      <c r="BA10" s="115">
        <f>'[8]FY20 Initial Budget Allocat (2)'!BA10/'FY20 Initial Budget Allocat FTE'!BA$121</f>
        <v>8</v>
      </c>
      <c r="BB10" s="115">
        <f>'[8]FY20 Initial Budget Allocat (2)'!BB10/'FY20 Initial Budget Allocat FTE'!BB$121</f>
        <v>0</v>
      </c>
      <c r="BC10" s="115">
        <f>'[8]FY20 Initial Budget Allocat (2)'!BC10/'FY20 Initial Budget Allocat FTE'!BC$121</f>
        <v>1</v>
      </c>
      <c r="BD10" s="115">
        <f>'[8]FY20 Initial Budget Allocat (2)'!BD10/'FY20 Initial Budget Allocat FTE'!BD$121</f>
        <v>13</v>
      </c>
      <c r="BE10" s="115">
        <f>'[8]FY20 Initial Budget Allocat (2)'!BE10/'FY20 Initial Budget Allocat FTE'!BE$121</f>
        <v>0</v>
      </c>
      <c r="BF10" s="115">
        <f>'[8]FY20 Initial Budget Allocat (2)'!BF10/'FY20 Initial Budget Allocat FTE'!BF$121</f>
        <v>2</v>
      </c>
      <c r="BG10" s="115">
        <f>'[8]FY20 Initial Budget Allocat (2)'!BG10/'FY20 Initial Budget Allocat FTE'!BG$121</f>
        <v>7.2509188105579687</v>
      </c>
      <c r="BH10" s="115">
        <f>'[8]FY20 Initial Budget Allocat (2)'!BH10/'FY20 Initial Budget Allocat FTE'!BH$121</f>
        <v>21</v>
      </c>
      <c r="BI10" s="115">
        <f>'[8]FY20 Initial Budget Allocat (2)'!BI10/'FY20 Initial Budget Allocat FTE'!BI$121</f>
        <v>1</v>
      </c>
      <c r="BJ10" s="79"/>
      <c r="BK10" s="79">
        <v>0</v>
      </c>
      <c r="BL10" s="79">
        <v>82302</v>
      </c>
      <c r="BM10" s="79">
        <v>305199.82</v>
      </c>
      <c r="BN10" s="79">
        <v>4856.5200000000004</v>
      </c>
      <c r="BO10" s="79">
        <v>0</v>
      </c>
      <c r="BP10" s="115">
        <f>'[8]FY20 Initial Budget Allocat (2)'!BP10/'FY20 Initial Budget Allocat FTE'!BP$121</f>
        <v>0</v>
      </c>
      <c r="BQ10" s="115">
        <f>'[8]FY20 Initial Budget Allocat (2)'!BQ10/'FY20 Initial Budget Allocat FTE'!BQ$121</f>
        <v>0</v>
      </c>
      <c r="BR10" s="115">
        <f>'[8]FY20 Initial Budget Allocat (2)'!BR10/'FY20 Initial Budget Allocat FTE'!BR$121</f>
        <v>0</v>
      </c>
      <c r="BS10" s="115">
        <f>'[8]FY20 Initial Budget Allocat (2)'!BS10/'FY20 Initial Budget Allocat FTE'!BS$121</f>
        <v>0</v>
      </c>
      <c r="BT10" s="115">
        <f>'[8]FY20 Initial Budget Allocat (2)'!BT10/'FY20 Initial Budget Allocat FTE'!BT$121</f>
        <v>0</v>
      </c>
      <c r="BU10" s="115">
        <f>'[8]FY20 Initial Budget Allocat (2)'!BU10/'FY20 Initial Budget Allocat FTE'!BU$121</f>
        <v>0</v>
      </c>
      <c r="BV10" s="115">
        <f>'[8]FY20 Initial Budget Allocat (2)'!BV10/'FY20 Initial Budget Allocat FTE'!BV$121</f>
        <v>0</v>
      </c>
      <c r="BW10" s="80">
        <v>0</v>
      </c>
      <c r="BX10" s="80">
        <v>0</v>
      </c>
      <c r="BY10" s="80">
        <v>0</v>
      </c>
      <c r="BZ10" s="80">
        <v>0</v>
      </c>
      <c r="CA10" s="115">
        <f>'[8]FY20 Initial Budget Allocat (2)'!CA10/'FY20 Initial Budget Allocat FTE'!CA$121</f>
        <v>0</v>
      </c>
      <c r="CB10" s="115">
        <f>'[8]FY20 Initial Budget Allocat (2)'!CB10/'FY20 Initial Budget Allocat FTE'!CB$121</f>
        <v>0</v>
      </c>
      <c r="CC10" s="80">
        <v>0</v>
      </c>
      <c r="CD10" s="115">
        <f>'[8]FY20 Initial Budget Allocat (2)'!CD10/'FY20 Initial Budget Allocat FTE'!CD$121</f>
        <v>0</v>
      </c>
      <c r="CE10" s="115">
        <f>'[8]FY20 Initial Budget Allocat (2)'!CE10/'FY20 Initial Budget Allocat FTE'!CE$121</f>
        <v>0</v>
      </c>
      <c r="CF10" s="115">
        <f>'[8]FY20 Initial Budget Allocat (2)'!CF10/'FY20 Initial Budget Allocat FTE'!CF$121</f>
        <v>0</v>
      </c>
      <c r="CG10" s="115">
        <f>'[8]FY20 Initial Budget Allocat (2)'!CG10/'FY20 Initial Budget Allocat FTE'!CG$121</f>
        <v>0</v>
      </c>
      <c r="CH10" s="115">
        <f>'[8]FY20 Initial Budget Allocat (2)'!CH10/'FY20 Initial Budget Allocat FTE'!CH$121</f>
        <v>0</v>
      </c>
      <c r="CI10" s="115">
        <f>'[8]FY20 Initial Budget Allocat (2)'!CI10/'FY20 Initial Budget Allocat FTE'!CI$121</f>
        <v>0</v>
      </c>
      <c r="CJ10" s="115">
        <f>'[8]FY20 Initial Budget Allocat (2)'!CJ10/'FY20 Initial Budget Allocat FTE'!CJ$121</f>
        <v>0</v>
      </c>
      <c r="CK10" s="79">
        <v>0</v>
      </c>
      <c r="CL10" s="79">
        <v>0</v>
      </c>
      <c r="CM10" s="79">
        <v>108165.6</v>
      </c>
      <c r="CN10" s="79">
        <v>0</v>
      </c>
      <c r="CO10" s="115">
        <f>'[8]FY20 Initial Budget Allocat (2)'!CO10/'FY20 Initial Budget Allocat FTE'!CO$121</f>
        <v>0</v>
      </c>
      <c r="CP10" s="79">
        <v>0</v>
      </c>
      <c r="CQ10" s="79">
        <v>6209.2307692307695</v>
      </c>
      <c r="CR10" s="79">
        <v>172800</v>
      </c>
      <c r="CS10" s="79">
        <v>30481</v>
      </c>
      <c r="CT10" s="115">
        <f>'[8]FY20 Initial Budget Allocat (2)'!CT10/'FY20 Initial Budget Allocat FTE'!CT$121</f>
        <v>0</v>
      </c>
      <c r="CU10" s="115">
        <f>'[8]FY20 Initial Budget Allocat (2)'!CU10/'FY20 Initial Budget Allocat FTE'!CU$121</f>
        <v>0</v>
      </c>
      <c r="CV10" s="79"/>
      <c r="CW10" s="79">
        <v>0</v>
      </c>
      <c r="CX10" s="115">
        <f>'[8]FY20 Initial Budget Allocat (2)'!CX10/'FY20 Initial Budget Allocat FTE'!CX$121</f>
        <v>0</v>
      </c>
      <c r="CY10" s="79">
        <v>0</v>
      </c>
      <c r="CZ10" s="79">
        <v>0</v>
      </c>
      <c r="DA10" s="79">
        <v>60000</v>
      </c>
      <c r="DB10" s="79">
        <v>139235.99038106352</v>
      </c>
      <c r="DC10" s="82">
        <v>0</v>
      </c>
      <c r="DD10" s="79">
        <v>0</v>
      </c>
      <c r="DE10" s="79"/>
      <c r="DF10" s="79">
        <v>19500</v>
      </c>
      <c r="DG10" s="79">
        <v>0</v>
      </c>
      <c r="DH10" s="83">
        <v>0</v>
      </c>
      <c r="DI10" s="79">
        <v>15953.563869107998</v>
      </c>
      <c r="DJ10" s="79">
        <v>9572138.2013081107</v>
      </c>
      <c r="DK10" s="84">
        <v>109114.79869188927</v>
      </c>
      <c r="DL10" s="84">
        <v>0</v>
      </c>
      <c r="DM10" s="84">
        <f t="shared" si="0"/>
        <v>9681253</v>
      </c>
      <c r="DN10" s="116">
        <f t="shared" si="1"/>
        <v>12</v>
      </c>
      <c r="DO10" s="116">
        <f t="shared" si="2"/>
        <v>12</v>
      </c>
      <c r="DP10" s="116">
        <f t="shared" si="3"/>
        <v>18</v>
      </c>
      <c r="DQ10" s="116">
        <f t="shared" si="4"/>
        <v>26</v>
      </c>
      <c r="DR10" s="116">
        <f t="shared" si="5"/>
        <v>8</v>
      </c>
    </row>
    <row r="11" spans="1:122" x14ac:dyDescent="0.25">
      <c r="A11" s="76">
        <v>206</v>
      </c>
      <c r="B11" s="76" t="s">
        <v>146</v>
      </c>
      <c r="C11" s="77" t="s">
        <v>135</v>
      </c>
      <c r="D11" s="41">
        <v>7</v>
      </c>
      <c r="E11" s="78">
        <v>483</v>
      </c>
      <c r="F11" s="78">
        <v>285.22727272727275</v>
      </c>
      <c r="G11" s="115">
        <f>'[8]FY20 Initial Budget Allocat (2)'!G11/'FY20 Initial Budget Allocat FTE'!G$121</f>
        <v>1</v>
      </c>
      <c r="H11" s="115">
        <f>'[8]FY20 Initial Budget Allocat (2)'!H11/'FY20 Initial Budget Allocat FTE'!H$121</f>
        <v>1</v>
      </c>
      <c r="I11" s="115">
        <f>'[8]FY20 Initial Budget Allocat (2)'!I11/'FY20 Initial Budget Allocat FTE'!I$121</f>
        <v>1.2</v>
      </c>
      <c r="J11" s="115">
        <f>'[8]FY20 Initial Budget Allocat (2)'!J11/'FY20 Initial Budget Allocat FTE'!J$121</f>
        <v>0</v>
      </c>
      <c r="K11" s="115">
        <f>'[8]FY20 Initial Budget Allocat (2)'!K11/'FY20 Initial Budget Allocat FTE'!K$121</f>
        <v>0</v>
      </c>
      <c r="L11" s="115">
        <f>'[8]FY20 Initial Budget Allocat (2)'!L11/'FY20 Initial Budget Allocat FTE'!L$121</f>
        <v>1</v>
      </c>
      <c r="M11" s="115">
        <f>'[8]FY20 Initial Budget Allocat (2)'!M11/'FY20 Initial Budget Allocat FTE'!M$121</f>
        <v>1</v>
      </c>
      <c r="N11" s="115">
        <f>'[8]FY20 Initial Budget Allocat (2)'!N11/'FY20 Initial Budget Allocat FTE'!N$121</f>
        <v>1.2</v>
      </c>
      <c r="O11" s="115">
        <f>'[8]FY20 Initial Budget Allocat (2)'!O11/'FY20 Initial Budget Allocat FTE'!O$121</f>
        <v>0</v>
      </c>
      <c r="P11" s="115">
        <f>'[8]FY20 Initial Budget Allocat (2)'!P11/'FY20 Initial Budget Allocat FTE'!P$121</f>
        <v>0</v>
      </c>
      <c r="Q11" s="115">
        <f>'[8]FY20 Initial Budget Allocat (2)'!Q11/'FY20 Initial Budget Allocat FTE'!Q$121</f>
        <v>0</v>
      </c>
      <c r="R11" s="115">
        <f>'[8]FY20 Initial Budget Allocat (2)'!R11/'FY20 Initial Budget Allocat FTE'!R$121</f>
        <v>1</v>
      </c>
      <c r="S11" s="115">
        <f>'[8]FY20 Initial Budget Allocat (2)'!S11/'FY20 Initial Budget Allocat FTE'!S$121</f>
        <v>1</v>
      </c>
      <c r="T11" s="115">
        <f>'[8]FY20 Initial Budget Allocat (2)'!T11/'FY20 Initial Budget Allocat FTE'!T$121</f>
        <v>2</v>
      </c>
      <c r="U11" s="115">
        <f>'[8]FY20 Initial Budget Allocat (2)'!U11/'FY20 Initial Budget Allocat FTE'!U$121</f>
        <v>1</v>
      </c>
      <c r="V11" s="115">
        <f>'[8]FY20 Initial Budget Allocat (2)'!V11/'FY20 Initial Budget Allocat FTE'!V$121</f>
        <v>1</v>
      </c>
      <c r="W11" s="115">
        <f>'[8]FY20 Initial Budget Allocat (2)'!W11/'FY20 Initial Budget Allocat FTE'!W$121</f>
        <v>1</v>
      </c>
      <c r="X11" s="115">
        <f>'[8]FY20 Initial Budget Allocat (2)'!X11/'FY20 Initial Budget Allocat FTE'!X$121</f>
        <v>1</v>
      </c>
      <c r="Y11" s="115">
        <f>'[8]FY20 Initial Budget Allocat (2)'!Y11/'FY20 Initial Budget Allocat FTE'!Y$121</f>
        <v>1.5000000000000002</v>
      </c>
      <c r="Z11" s="115">
        <f>'[8]FY20 Initial Budget Allocat (2)'!Z11/'FY20 Initial Budget Allocat FTE'!Z$121</f>
        <v>0</v>
      </c>
      <c r="AA11" s="115">
        <f>'[8]FY20 Initial Budget Allocat (2)'!AA11/'FY20 Initial Budget Allocat FTE'!AA$121</f>
        <v>2</v>
      </c>
      <c r="AB11" s="115">
        <f>'[8]FY20 Initial Budget Allocat (2)'!AB11/'FY20 Initial Budget Allocat FTE'!AB$121</f>
        <v>2</v>
      </c>
      <c r="AC11" s="115">
        <f>'[8]FY20 Initial Budget Allocat (2)'!AC11/'FY20 Initial Budget Allocat FTE'!AC$121</f>
        <v>1</v>
      </c>
      <c r="AD11" s="115">
        <f>'[8]FY20 Initial Budget Allocat (2)'!AD11/'FY20 Initial Budget Allocat FTE'!AD$121</f>
        <v>1</v>
      </c>
      <c r="AE11" s="115">
        <f>'[8]FY20 Initial Budget Allocat (2)'!AE11/'FY20 Initial Budget Allocat FTE'!AE$121</f>
        <v>2</v>
      </c>
      <c r="AF11" s="115">
        <f>'[8]FY20 Initial Budget Allocat (2)'!AF11/'FY20 Initial Budget Allocat FTE'!AF$121</f>
        <v>2</v>
      </c>
      <c r="AG11" s="115">
        <f>'[8]FY20 Initial Budget Allocat (2)'!AG11/'FY20 Initial Budget Allocat FTE'!AG$121</f>
        <v>3.0000000000000004</v>
      </c>
      <c r="AH11" s="115">
        <f>'[8]FY20 Initial Budget Allocat (2)'!AH11/'FY20 Initial Budget Allocat FTE'!AH$121</f>
        <v>3</v>
      </c>
      <c r="AI11" s="115">
        <f>'[8]FY20 Initial Budget Allocat (2)'!AI11/'FY20 Initial Budget Allocat FTE'!AI$121</f>
        <v>3.0000000000000004</v>
      </c>
      <c r="AJ11" s="115">
        <f>'[8]FY20 Initial Budget Allocat (2)'!AJ11/'FY20 Initial Budget Allocat FTE'!AJ$121</f>
        <v>3.0000000000000004</v>
      </c>
      <c r="AK11" s="115">
        <f>'[8]FY20 Initial Budget Allocat (2)'!AK11/'FY20 Initial Budget Allocat FTE'!AK$121</f>
        <v>3.0000000000000004</v>
      </c>
      <c r="AL11" s="115">
        <f>'[8]FY20 Initial Budget Allocat (2)'!AL11/'FY20 Initial Budget Allocat FTE'!AL$121</f>
        <v>4</v>
      </c>
      <c r="AM11" s="115">
        <f>'[8]FY20 Initial Budget Allocat (2)'!AM11/'FY20 Initial Budget Allocat FTE'!AM$121</f>
        <v>2</v>
      </c>
      <c r="AN11" s="115">
        <f>'[8]FY20 Initial Budget Allocat (2)'!AN11/'FY20 Initial Budget Allocat FTE'!AN$121</f>
        <v>0</v>
      </c>
      <c r="AO11" s="115">
        <f>'[8]FY20 Initial Budget Allocat (2)'!AO11/'FY20 Initial Budget Allocat FTE'!AO$121</f>
        <v>0</v>
      </c>
      <c r="AP11" s="115">
        <f>'[8]FY20 Initial Budget Allocat (2)'!AP11/'FY20 Initial Budget Allocat FTE'!AP$121</f>
        <v>0</v>
      </c>
      <c r="AQ11" s="115">
        <f>'[8]FY20 Initial Budget Allocat (2)'!AQ11/'FY20 Initial Budget Allocat FTE'!AQ$121</f>
        <v>0</v>
      </c>
      <c r="AR11" s="115">
        <f>'[8]FY20 Initial Budget Allocat (2)'!AR11/'FY20 Initial Budget Allocat FTE'!AR$121</f>
        <v>0</v>
      </c>
      <c r="AS11" s="115">
        <f>'[8]FY20 Initial Budget Allocat (2)'!AS11/'FY20 Initial Budget Allocat FTE'!AS$121</f>
        <v>0</v>
      </c>
      <c r="AT11" s="115">
        <f>'[8]FY20 Initial Budget Allocat (2)'!AT11/'FY20 Initial Budget Allocat FTE'!AT$121</f>
        <v>0</v>
      </c>
      <c r="AU11" s="115">
        <f>'[8]FY20 Initial Budget Allocat (2)'!AU11/'FY20 Initial Budget Allocat FTE'!AU$121</f>
        <v>0</v>
      </c>
      <c r="AV11" s="115">
        <f>'[8]FY20 Initial Budget Allocat (2)'!AV11/'FY20 Initial Budget Allocat FTE'!AV$121</f>
        <v>0</v>
      </c>
      <c r="AW11" s="115">
        <f>'[8]FY20 Initial Budget Allocat (2)'!AW11/'FY20 Initial Budget Allocat FTE'!AW$121</f>
        <v>0</v>
      </c>
      <c r="AX11" s="115">
        <f>'[8]FY20 Initial Budget Allocat (2)'!AX11/'FY20 Initial Budget Allocat FTE'!AX$121</f>
        <v>1</v>
      </c>
      <c r="AY11" s="115">
        <f>'[8]FY20 Initial Budget Allocat (2)'!AY11/'FY20 Initial Budget Allocat FTE'!AY$121</f>
        <v>2</v>
      </c>
      <c r="AZ11" s="115">
        <f>'[8]FY20 Initial Budget Allocat (2)'!AZ11/'FY20 Initial Budget Allocat FTE'!AZ$121</f>
        <v>10</v>
      </c>
      <c r="BA11" s="115">
        <f>'[8]FY20 Initial Budget Allocat (2)'!BA11/'FY20 Initial Budget Allocat FTE'!BA$121</f>
        <v>10</v>
      </c>
      <c r="BB11" s="115">
        <f>'[8]FY20 Initial Budget Allocat (2)'!BB11/'FY20 Initial Budget Allocat FTE'!BB$121</f>
        <v>0</v>
      </c>
      <c r="BC11" s="115">
        <f>'[8]FY20 Initial Budget Allocat (2)'!BC11/'FY20 Initial Budget Allocat FTE'!BC$121</f>
        <v>1</v>
      </c>
      <c r="BD11" s="115">
        <f>'[8]FY20 Initial Budget Allocat (2)'!BD11/'FY20 Initial Budget Allocat FTE'!BD$121</f>
        <v>0</v>
      </c>
      <c r="BE11" s="115">
        <f>'[8]FY20 Initial Budget Allocat (2)'!BE11/'FY20 Initial Budget Allocat FTE'!BE$121</f>
        <v>0</v>
      </c>
      <c r="BF11" s="115">
        <f>'[8]FY20 Initial Budget Allocat (2)'!BF11/'FY20 Initial Budget Allocat FTE'!BF$121</f>
        <v>0</v>
      </c>
      <c r="BG11" s="115">
        <f>'[8]FY20 Initial Budget Allocat (2)'!BG11/'FY20 Initial Budget Allocat FTE'!BG$121</f>
        <v>2.0629635816906116</v>
      </c>
      <c r="BH11" s="115">
        <f>'[8]FY20 Initial Budget Allocat (2)'!BH11/'FY20 Initial Budget Allocat FTE'!BH$121</f>
        <v>9</v>
      </c>
      <c r="BI11" s="115">
        <f>'[8]FY20 Initial Budget Allocat (2)'!BI11/'FY20 Initial Budget Allocat FTE'!BI$121</f>
        <v>1</v>
      </c>
      <c r="BJ11" s="79"/>
      <c r="BK11" s="79">
        <v>0</v>
      </c>
      <c r="BL11" s="79">
        <v>41525.1</v>
      </c>
      <c r="BM11" s="79">
        <v>230088.34</v>
      </c>
      <c r="BN11" s="79">
        <v>3661.3</v>
      </c>
      <c r="BO11" s="79">
        <v>0</v>
      </c>
      <c r="BP11" s="115">
        <f>'[8]FY20 Initial Budget Allocat (2)'!BP11/'FY20 Initial Budget Allocat FTE'!BP$121</f>
        <v>0</v>
      </c>
      <c r="BQ11" s="115">
        <f>'[8]FY20 Initial Budget Allocat (2)'!BQ11/'FY20 Initial Budget Allocat FTE'!BQ$121</f>
        <v>0</v>
      </c>
      <c r="BR11" s="115">
        <f>'[8]FY20 Initial Budget Allocat (2)'!BR11/'FY20 Initial Budget Allocat FTE'!BR$121</f>
        <v>0</v>
      </c>
      <c r="BS11" s="115">
        <f>'[8]FY20 Initial Budget Allocat (2)'!BS11/'FY20 Initial Budget Allocat FTE'!BS$121</f>
        <v>0</v>
      </c>
      <c r="BT11" s="115">
        <f>'[8]FY20 Initial Budget Allocat (2)'!BT11/'FY20 Initial Budget Allocat FTE'!BT$121</f>
        <v>0</v>
      </c>
      <c r="BU11" s="115">
        <f>'[8]FY20 Initial Budget Allocat (2)'!BU11/'FY20 Initial Budget Allocat FTE'!BU$121</f>
        <v>0</v>
      </c>
      <c r="BV11" s="115">
        <f>'[8]FY20 Initial Budget Allocat (2)'!BV11/'FY20 Initial Budget Allocat FTE'!BV$121</f>
        <v>0</v>
      </c>
      <c r="BW11" s="80">
        <v>0</v>
      </c>
      <c r="BX11" s="80">
        <v>0</v>
      </c>
      <c r="BY11" s="80">
        <v>0</v>
      </c>
      <c r="BZ11" s="80">
        <v>0</v>
      </c>
      <c r="CA11" s="115">
        <f>'[8]FY20 Initial Budget Allocat (2)'!CA11/'FY20 Initial Budget Allocat FTE'!CA$121</f>
        <v>0</v>
      </c>
      <c r="CB11" s="115">
        <f>'[8]FY20 Initial Budget Allocat (2)'!CB11/'FY20 Initial Budget Allocat FTE'!CB$121</f>
        <v>0</v>
      </c>
      <c r="CC11" s="80">
        <v>0</v>
      </c>
      <c r="CD11" s="115">
        <f>'[8]FY20 Initial Budget Allocat (2)'!CD11/'FY20 Initial Budget Allocat FTE'!CD$121</f>
        <v>0</v>
      </c>
      <c r="CE11" s="115">
        <f>'[8]FY20 Initial Budget Allocat (2)'!CE11/'FY20 Initial Budget Allocat FTE'!CE$121</f>
        <v>0</v>
      </c>
      <c r="CF11" s="115">
        <f>'[8]FY20 Initial Budget Allocat (2)'!CF11/'FY20 Initial Budget Allocat FTE'!CF$121</f>
        <v>0</v>
      </c>
      <c r="CG11" s="115">
        <f>'[8]FY20 Initial Budget Allocat (2)'!CG11/'FY20 Initial Budget Allocat FTE'!CG$121</f>
        <v>0</v>
      </c>
      <c r="CH11" s="115">
        <f>'[8]FY20 Initial Budget Allocat (2)'!CH11/'FY20 Initial Budget Allocat FTE'!CH$121</f>
        <v>0</v>
      </c>
      <c r="CI11" s="115">
        <f>'[8]FY20 Initial Budget Allocat (2)'!CI11/'FY20 Initial Budget Allocat FTE'!CI$121</f>
        <v>0</v>
      </c>
      <c r="CJ11" s="115">
        <f>'[8]FY20 Initial Budget Allocat (2)'!CJ11/'FY20 Initial Budget Allocat FTE'!CJ$121</f>
        <v>0</v>
      </c>
      <c r="CK11" s="79">
        <v>0</v>
      </c>
      <c r="CL11" s="79">
        <v>0</v>
      </c>
      <c r="CM11" s="79">
        <v>54082.8</v>
      </c>
      <c r="CN11" s="79">
        <v>0</v>
      </c>
      <c r="CO11" s="115">
        <f>'[8]FY20 Initial Budget Allocat (2)'!CO11/'FY20 Initial Budget Allocat FTE'!CO$121</f>
        <v>0</v>
      </c>
      <c r="CP11" s="79">
        <v>0</v>
      </c>
      <c r="CQ11" s="79">
        <v>5704.545454545455</v>
      </c>
      <c r="CR11" s="79">
        <v>0</v>
      </c>
      <c r="CS11" s="79">
        <v>26853.116279069767</v>
      </c>
      <c r="CT11" s="115">
        <f>'[8]FY20 Initial Budget Allocat (2)'!CT11/'FY20 Initial Budget Allocat FTE'!CT$121</f>
        <v>0</v>
      </c>
      <c r="CU11" s="115">
        <f>'[8]FY20 Initial Budget Allocat (2)'!CU11/'FY20 Initial Budget Allocat FTE'!CU$121</f>
        <v>0</v>
      </c>
      <c r="CV11" s="79"/>
      <c r="CW11" s="79">
        <v>0</v>
      </c>
      <c r="CX11" s="115">
        <f>'[8]FY20 Initial Budget Allocat (2)'!CX11/'FY20 Initial Budget Allocat FTE'!CX$121</f>
        <v>0</v>
      </c>
      <c r="CY11" s="79">
        <v>0</v>
      </c>
      <c r="CZ11" s="79">
        <v>0</v>
      </c>
      <c r="DA11" s="79">
        <v>48300</v>
      </c>
      <c r="DB11" s="79">
        <v>98529.415674312273</v>
      </c>
      <c r="DC11" s="82">
        <v>0</v>
      </c>
      <c r="DD11" s="79">
        <v>0</v>
      </c>
      <c r="DE11" s="79"/>
      <c r="DF11" s="79">
        <v>18500</v>
      </c>
      <c r="DG11" s="79">
        <v>0</v>
      </c>
      <c r="DH11" s="83">
        <v>0</v>
      </c>
      <c r="DI11" s="79">
        <v>13906.159420878812</v>
      </c>
      <c r="DJ11" s="79">
        <v>6716675.000284466</v>
      </c>
      <c r="DK11" s="84">
        <v>-2.844659611582756E-4</v>
      </c>
      <c r="DL11" s="84">
        <v>0</v>
      </c>
      <c r="DM11" s="84">
        <f t="shared" si="0"/>
        <v>6716675</v>
      </c>
      <c r="DN11" s="116">
        <f t="shared" si="1"/>
        <v>8</v>
      </c>
      <c r="DO11" s="116">
        <f t="shared" si="2"/>
        <v>8</v>
      </c>
      <c r="DP11" s="116">
        <f t="shared" si="3"/>
        <v>15.000000000000002</v>
      </c>
      <c r="DQ11" s="116">
        <f t="shared" si="4"/>
        <v>13</v>
      </c>
      <c r="DR11" s="116">
        <f t="shared" si="5"/>
        <v>10</v>
      </c>
    </row>
    <row r="12" spans="1:122" x14ac:dyDescent="0.25">
      <c r="A12" s="76">
        <v>402</v>
      </c>
      <c r="B12" s="76" t="s">
        <v>147</v>
      </c>
      <c r="C12" s="77" t="s">
        <v>138</v>
      </c>
      <c r="D12" s="41">
        <v>1</v>
      </c>
      <c r="E12" s="78">
        <v>505</v>
      </c>
      <c r="F12" s="78">
        <v>135.42418032786884</v>
      </c>
      <c r="G12" s="115">
        <f>'[8]FY20 Initial Budget Allocat (2)'!G12/'FY20 Initial Budget Allocat FTE'!G$121</f>
        <v>1</v>
      </c>
      <c r="H12" s="115">
        <f>'[8]FY20 Initial Budget Allocat (2)'!H12/'FY20 Initial Budget Allocat FTE'!H$121</f>
        <v>1</v>
      </c>
      <c r="I12" s="115">
        <f>'[8]FY20 Initial Budget Allocat (2)'!I12/'FY20 Initial Budget Allocat FTE'!I$121</f>
        <v>1.7</v>
      </c>
      <c r="J12" s="115">
        <f>'[8]FY20 Initial Budget Allocat (2)'!J12/'FY20 Initial Budget Allocat FTE'!J$121</f>
        <v>0</v>
      </c>
      <c r="K12" s="115">
        <f>'[8]FY20 Initial Budget Allocat (2)'!K12/'FY20 Initial Budget Allocat FTE'!K$121</f>
        <v>2.4999914336021911</v>
      </c>
      <c r="L12" s="115">
        <f>'[8]FY20 Initial Budget Allocat (2)'!L12/'FY20 Initial Budget Allocat FTE'!L$121</f>
        <v>1</v>
      </c>
      <c r="M12" s="115">
        <f>'[8]FY20 Initial Budget Allocat (2)'!M12/'FY20 Initial Budget Allocat FTE'!M$121</f>
        <v>1</v>
      </c>
      <c r="N12" s="115">
        <f>'[8]FY20 Initial Budget Allocat (2)'!N12/'FY20 Initial Budget Allocat FTE'!N$121</f>
        <v>1.3</v>
      </c>
      <c r="O12" s="115">
        <f>'[8]FY20 Initial Budget Allocat (2)'!O12/'FY20 Initial Budget Allocat FTE'!O$121</f>
        <v>1</v>
      </c>
      <c r="P12" s="115">
        <f>'[8]FY20 Initial Budget Allocat (2)'!P12/'FY20 Initial Budget Allocat FTE'!P$121</f>
        <v>1</v>
      </c>
      <c r="Q12" s="115">
        <f>'[8]FY20 Initial Budget Allocat (2)'!Q12/'FY20 Initial Budget Allocat FTE'!Q$121</f>
        <v>0</v>
      </c>
      <c r="R12" s="115">
        <f>'[8]FY20 Initial Budget Allocat (2)'!R12/'FY20 Initial Budget Allocat FTE'!R$121</f>
        <v>1</v>
      </c>
      <c r="S12" s="115">
        <f>'[8]FY20 Initial Budget Allocat (2)'!S12/'FY20 Initial Budget Allocat FTE'!S$121</f>
        <v>1</v>
      </c>
      <c r="T12" s="115">
        <f>'[8]FY20 Initial Budget Allocat (2)'!T12/'FY20 Initial Budget Allocat FTE'!T$121</f>
        <v>5</v>
      </c>
      <c r="U12" s="115">
        <f>'[8]FY20 Initial Budget Allocat (2)'!U12/'FY20 Initial Budget Allocat FTE'!U$121</f>
        <v>1</v>
      </c>
      <c r="V12" s="115">
        <f>'[8]FY20 Initial Budget Allocat (2)'!V12/'FY20 Initial Budget Allocat FTE'!V$121</f>
        <v>0</v>
      </c>
      <c r="W12" s="115">
        <f>'[8]FY20 Initial Budget Allocat (2)'!W12/'FY20 Initial Budget Allocat FTE'!W$121</f>
        <v>0</v>
      </c>
      <c r="X12" s="115">
        <f>'[8]FY20 Initial Budget Allocat (2)'!X12/'FY20 Initial Budget Allocat FTE'!X$121</f>
        <v>0</v>
      </c>
      <c r="Y12" s="115">
        <f>'[8]FY20 Initial Budget Allocat (2)'!Y12/'FY20 Initial Budget Allocat FTE'!Y$121</f>
        <v>0</v>
      </c>
      <c r="Z12" s="115">
        <f>'[8]FY20 Initial Budget Allocat (2)'!Z12/'FY20 Initial Budget Allocat FTE'!Z$121</f>
        <v>0</v>
      </c>
      <c r="AA12" s="115">
        <f>'[8]FY20 Initial Budget Allocat (2)'!AA12/'FY20 Initial Budget Allocat FTE'!AA$121</f>
        <v>0</v>
      </c>
      <c r="AB12" s="115">
        <f>'[8]FY20 Initial Budget Allocat (2)'!AB12/'FY20 Initial Budget Allocat FTE'!AB$121</f>
        <v>0</v>
      </c>
      <c r="AC12" s="115">
        <f>'[8]FY20 Initial Budget Allocat (2)'!AC12/'FY20 Initial Budget Allocat FTE'!AC$121</f>
        <v>0</v>
      </c>
      <c r="AD12" s="115">
        <f>'[8]FY20 Initial Budget Allocat (2)'!AD12/'FY20 Initial Budget Allocat FTE'!AD$121</f>
        <v>0</v>
      </c>
      <c r="AE12" s="115">
        <f>'[8]FY20 Initial Budget Allocat (2)'!AE12/'FY20 Initial Budget Allocat FTE'!AE$121</f>
        <v>0</v>
      </c>
      <c r="AF12" s="115">
        <f>'[8]FY20 Initial Budget Allocat (2)'!AF12/'FY20 Initial Budget Allocat FTE'!AF$121</f>
        <v>0</v>
      </c>
      <c r="AG12" s="115">
        <f>'[8]FY20 Initial Budget Allocat (2)'!AG12/'FY20 Initial Budget Allocat FTE'!AG$121</f>
        <v>0</v>
      </c>
      <c r="AH12" s="115">
        <f>'[8]FY20 Initial Budget Allocat (2)'!AH12/'FY20 Initial Budget Allocat FTE'!AH$121</f>
        <v>0</v>
      </c>
      <c r="AI12" s="115">
        <f>'[8]FY20 Initial Budget Allocat (2)'!AI12/'FY20 Initial Budget Allocat FTE'!AI$121</f>
        <v>0</v>
      </c>
      <c r="AJ12" s="115">
        <f>'[8]FY20 Initial Budget Allocat (2)'!AJ12/'FY20 Initial Budget Allocat FTE'!AJ$121</f>
        <v>0</v>
      </c>
      <c r="AK12" s="115">
        <f>'[8]FY20 Initial Budget Allocat (2)'!AK12/'FY20 Initial Budget Allocat FTE'!AK$121</f>
        <v>0</v>
      </c>
      <c r="AL12" s="115">
        <f>'[8]FY20 Initial Budget Allocat (2)'!AL12/'FY20 Initial Budget Allocat FTE'!AL$121</f>
        <v>0</v>
      </c>
      <c r="AM12" s="115">
        <f>'[8]FY20 Initial Budget Allocat (2)'!AM12/'FY20 Initial Budget Allocat FTE'!AM$121</f>
        <v>0</v>
      </c>
      <c r="AN12" s="115">
        <f>'[8]FY20 Initial Budget Allocat (2)'!AN12/'FY20 Initial Budget Allocat FTE'!AN$121</f>
        <v>0</v>
      </c>
      <c r="AO12" s="115">
        <f>'[8]FY20 Initial Budget Allocat (2)'!AO12/'FY20 Initial Budget Allocat FTE'!AO$121</f>
        <v>0</v>
      </c>
      <c r="AP12" s="115">
        <f>'[8]FY20 Initial Budget Allocat (2)'!AP12/'FY20 Initial Budget Allocat FTE'!AP$121</f>
        <v>0</v>
      </c>
      <c r="AQ12" s="115">
        <f>'[8]FY20 Initial Budget Allocat (2)'!AQ12/'FY20 Initial Budget Allocat FTE'!AQ$121</f>
        <v>6.9</v>
      </c>
      <c r="AR12" s="115">
        <f>'[8]FY20 Initial Budget Allocat (2)'!AR12/'FY20 Initial Budget Allocat FTE'!AR$121</f>
        <v>5.5999999999999988</v>
      </c>
      <c r="AS12" s="115">
        <f>'[8]FY20 Initial Budget Allocat (2)'!AS12/'FY20 Initial Budget Allocat FTE'!AS$121</f>
        <v>4.4000000000000004</v>
      </c>
      <c r="AT12" s="115">
        <f>'[8]FY20 Initial Budget Allocat (2)'!AT12/'FY20 Initial Budget Allocat FTE'!AT$121</f>
        <v>4.2</v>
      </c>
      <c r="AU12" s="115">
        <f>'[8]FY20 Initial Budget Allocat (2)'!AU12/'FY20 Initial Budget Allocat FTE'!AU$121</f>
        <v>0</v>
      </c>
      <c r="AV12" s="115">
        <f>'[8]FY20 Initial Budget Allocat (2)'!AV12/'FY20 Initial Budget Allocat FTE'!AV$121</f>
        <v>0</v>
      </c>
      <c r="AW12" s="115">
        <f>'[8]FY20 Initial Budget Allocat (2)'!AW12/'FY20 Initial Budget Allocat FTE'!AW$121</f>
        <v>0</v>
      </c>
      <c r="AX12" s="115">
        <f>'[8]FY20 Initial Budget Allocat (2)'!AX12/'FY20 Initial Budget Allocat FTE'!AX$121</f>
        <v>0.5</v>
      </c>
      <c r="AY12" s="115">
        <f>'[8]FY20 Initial Budget Allocat (2)'!AY12/'FY20 Initial Budget Allocat FTE'!AY$121</f>
        <v>1</v>
      </c>
      <c r="AZ12" s="115">
        <f>'[8]FY20 Initial Budget Allocat (2)'!AZ12/'FY20 Initial Budget Allocat FTE'!AZ$121</f>
        <v>0.5</v>
      </c>
      <c r="BA12" s="115">
        <f>'[8]FY20 Initial Budget Allocat (2)'!BA12/'FY20 Initial Budget Allocat FTE'!BA$121</f>
        <v>0</v>
      </c>
      <c r="BB12" s="115">
        <f>'[8]FY20 Initial Budget Allocat (2)'!BB12/'FY20 Initial Budget Allocat FTE'!BB$121</f>
        <v>0</v>
      </c>
      <c r="BC12" s="115">
        <f>'[8]FY20 Initial Budget Allocat (2)'!BC12/'FY20 Initial Budget Allocat FTE'!BC$121</f>
        <v>0</v>
      </c>
      <c r="BD12" s="115">
        <f>'[8]FY20 Initial Budget Allocat (2)'!BD12/'FY20 Initial Budget Allocat FTE'!BD$121</f>
        <v>9.0909090909090912E-2</v>
      </c>
      <c r="BE12" s="115">
        <f>'[8]FY20 Initial Budget Allocat (2)'!BE12/'FY20 Initial Budget Allocat FTE'!BE$121</f>
        <v>0</v>
      </c>
      <c r="BF12" s="115">
        <f>'[8]FY20 Initial Budget Allocat (2)'!BF12/'FY20 Initial Budget Allocat FTE'!BF$121</f>
        <v>0</v>
      </c>
      <c r="BG12" s="115">
        <f>'[8]FY20 Initial Budget Allocat (2)'!BG12/'FY20 Initial Budget Allocat FTE'!BG$121</f>
        <v>0</v>
      </c>
      <c r="BH12" s="115">
        <f>'[8]FY20 Initial Budget Allocat (2)'!BH12/'FY20 Initial Budget Allocat FTE'!BH$121</f>
        <v>0</v>
      </c>
      <c r="BI12" s="115">
        <f>'[8]FY20 Initial Budget Allocat (2)'!BI12/'FY20 Initial Budget Allocat FTE'!BI$121</f>
        <v>0</v>
      </c>
      <c r="BJ12" s="79"/>
      <c r="BK12" s="79">
        <v>0</v>
      </c>
      <c r="BL12" s="79"/>
      <c r="BM12" s="79">
        <v>107549.84</v>
      </c>
      <c r="BN12" s="79">
        <v>1711.4</v>
      </c>
      <c r="BO12" s="79">
        <v>0</v>
      </c>
      <c r="BP12" s="115">
        <f>'[8]FY20 Initial Budget Allocat (2)'!BP12/'FY20 Initial Budget Allocat FTE'!BP$121</f>
        <v>1</v>
      </c>
      <c r="BQ12" s="115">
        <f>'[8]FY20 Initial Budget Allocat (2)'!BQ12/'FY20 Initial Budget Allocat FTE'!BQ$121</f>
        <v>0</v>
      </c>
      <c r="BR12" s="115">
        <f>'[8]FY20 Initial Budget Allocat (2)'!BR12/'FY20 Initial Budget Allocat FTE'!BR$121</f>
        <v>0</v>
      </c>
      <c r="BS12" s="115">
        <f>'[8]FY20 Initial Budget Allocat (2)'!BS12/'FY20 Initial Budget Allocat FTE'!BS$121</f>
        <v>0</v>
      </c>
      <c r="BT12" s="115">
        <f>'[8]FY20 Initial Budget Allocat (2)'!BT12/'FY20 Initial Budget Allocat FTE'!BT$121</f>
        <v>0</v>
      </c>
      <c r="BU12" s="115">
        <f>'[8]FY20 Initial Budget Allocat (2)'!BU12/'FY20 Initial Budget Allocat FTE'!BU$121</f>
        <v>0</v>
      </c>
      <c r="BV12" s="115">
        <f>'[8]FY20 Initial Budget Allocat (2)'!BV12/'FY20 Initial Budget Allocat FTE'!BV$121</f>
        <v>0</v>
      </c>
      <c r="BW12" s="80">
        <v>0</v>
      </c>
      <c r="BX12" s="80">
        <v>0</v>
      </c>
      <c r="BY12" s="80">
        <v>0</v>
      </c>
      <c r="BZ12" s="80">
        <v>0</v>
      </c>
      <c r="CA12" s="115">
        <f>'[8]FY20 Initial Budget Allocat (2)'!CA12/'FY20 Initial Budget Allocat FTE'!CA$121</f>
        <v>0</v>
      </c>
      <c r="CB12" s="115">
        <f>'[8]FY20 Initial Budget Allocat (2)'!CB12/'FY20 Initial Budget Allocat FTE'!CB$121</f>
        <v>0</v>
      </c>
      <c r="CC12" s="80">
        <v>0</v>
      </c>
      <c r="CD12" s="115">
        <f>'[8]FY20 Initial Budget Allocat (2)'!CD12/'FY20 Initial Budget Allocat FTE'!CD$121</f>
        <v>0</v>
      </c>
      <c r="CE12" s="115">
        <f>'[8]FY20 Initial Budget Allocat (2)'!CE12/'FY20 Initial Budget Allocat FTE'!CE$121</f>
        <v>0</v>
      </c>
      <c r="CF12" s="115">
        <f>'[8]FY20 Initial Budget Allocat (2)'!CF12/'FY20 Initial Budget Allocat FTE'!CF$121</f>
        <v>0</v>
      </c>
      <c r="CG12" s="115">
        <f>'[8]FY20 Initial Budget Allocat (2)'!CG12/'FY20 Initial Budget Allocat FTE'!CG$121</f>
        <v>0</v>
      </c>
      <c r="CH12" s="115">
        <f>'[8]FY20 Initial Budget Allocat (2)'!CH12/'FY20 Initial Budget Allocat FTE'!CH$121</f>
        <v>0</v>
      </c>
      <c r="CI12" s="115">
        <f>'[8]FY20 Initial Budget Allocat (2)'!CI12/'FY20 Initial Budget Allocat FTE'!CI$121</f>
        <v>0</v>
      </c>
      <c r="CJ12" s="115">
        <f>'[8]FY20 Initial Budget Allocat (2)'!CJ12/'FY20 Initial Budget Allocat FTE'!CJ$121</f>
        <v>0</v>
      </c>
      <c r="CK12" s="79">
        <v>0</v>
      </c>
      <c r="CL12" s="79">
        <v>0</v>
      </c>
      <c r="CM12" s="79">
        <v>202810.5</v>
      </c>
      <c r="CN12" s="79">
        <v>0</v>
      </c>
      <c r="CO12" s="115">
        <f>'[8]FY20 Initial Budget Allocat (2)'!CO12/'FY20 Initial Budget Allocat FTE'!CO$121</f>
        <v>1</v>
      </c>
      <c r="CP12" s="79">
        <v>0</v>
      </c>
      <c r="CQ12" s="79">
        <v>2708.4836065573768</v>
      </c>
      <c r="CR12" s="79">
        <v>0</v>
      </c>
      <c r="CS12" s="79">
        <v>69910.153225806454</v>
      </c>
      <c r="CT12" s="115">
        <f>'[8]FY20 Initial Budget Allocat (2)'!CT12/'FY20 Initial Budget Allocat FTE'!CT$121</f>
        <v>0</v>
      </c>
      <c r="CU12" s="115">
        <f>'[8]FY20 Initial Budget Allocat (2)'!CU12/'FY20 Initial Budget Allocat FTE'!CU$121</f>
        <v>0</v>
      </c>
      <c r="CV12" s="79"/>
      <c r="CW12" s="79">
        <v>0</v>
      </c>
      <c r="CX12" s="115">
        <f>'[8]FY20 Initial Budget Allocat (2)'!CX12/'FY20 Initial Budget Allocat FTE'!CX$121</f>
        <v>0</v>
      </c>
      <c r="CY12" s="79">
        <v>0</v>
      </c>
      <c r="CZ12" s="79">
        <v>0</v>
      </c>
      <c r="DA12" s="79">
        <v>50500</v>
      </c>
      <c r="DB12" s="79">
        <v>70012.34294300343</v>
      </c>
      <c r="DC12" s="82">
        <v>0</v>
      </c>
      <c r="DD12" s="79">
        <v>721910</v>
      </c>
      <c r="DE12" s="79"/>
      <c r="DF12" s="79">
        <v>150</v>
      </c>
      <c r="DG12" s="79">
        <v>0</v>
      </c>
      <c r="DH12" s="83">
        <v>0</v>
      </c>
      <c r="DI12" s="79">
        <v>11041.297919117747</v>
      </c>
      <c r="DJ12" s="79">
        <v>5575855.4491544645</v>
      </c>
      <c r="DK12" s="84">
        <v>8.4553565829992294E-4</v>
      </c>
      <c r="DL12" s="84">
        <v>0</v>
      </c>
      <c r="DM12" s="84">
        <f t="shared" si="0"/>
        <v>5575855.4500000002</v>
      </c>
      <c r="DN12" s="116">
        <f t="shared" si="1"/>
        <v>0</v>
      </c>
      <c r="DO12" s="116">
        <f t="shared" si="2"/>
        <v>0</v>
      </c>
      <c r="DP12" s="116">
        <f t="shared" si="3"/>
        <v>21.099999999999998</v>
      </c>
      <c r="DQ12" s="116">
        <f t="shared" si="4"/>
        <v>2.0909090909090908</v>
      </c>
      <c r="DR12" s="116">
        <f t="shared" si="5"/>
        <v>0</v>
      </c>
    </row>
    <row r="13" spans="1:122" x14ac:dyDescent="0.25">
      <c r="A13" s="76">
        <v>212</v>
      </c>
      <c r="B13" s="76" t="s">
        <v>148</v>
      </c>
      <c r="C13" s="77" t="s">
        <v>135</v>
      </c>
      <c r="D13" s="41">
        <v>6</v>
      </c>
      <c r="E13" s="78">
        <v>452</v>
      </c>
      <c r="F13" s="78">
        <v>43.353233830845774</v>
      </c>
      <c r="G13" s="115">
        <f>'[8]FY20 Initial Budget Allocat (2)'!G13/'FY20 Initial Budget Allocat FTE'!G$121</f>
        <v>1</v>
      </c>
      <c r="H13" s="115">
        <f>'[8]FY20 Initial Budget Allocat (2)'!H13/'FY20 Initial Budget Allocat FTE'!H$121</f>
        <v>1</v>
      </c>
      <c r="I13" s="115">
        <f>'[8]FY20 Initial Budget Allocat (2)'!I13/'FY20 Initial Budget Allocat FTE'!I$121</f>
        <v>1.1000000000000001</v>
      </c>
      <c r="J13" s="115">
        <f>'[8]FY20 Initial Budget Allocat (2)'!J13/'FY20 Initial Budget Allocat FTE'!J$121</f>
        <v>0</v>
      </c>
      <c r="K13" s="115">
        <f>'[8]FY20 Initial Budget Allocat (2)'!K13/'FY20 Initial Budget Allocat FTE'!K$121</f>
        <v>0</v>
      </c>
      <c r="L13" s="115">
        <f>'[8]FY20 Initial Budget Allocat (2)'!L13/'FY20 Initial Budget Allocat FTE'!L$121</f>
        <v>1</v>
      </c>
      <c r="M13" s="115">
        <f>'[8]FY20 Initial Budget Allocat (2)'!M13/'FY20 Initial Budget Allocat FTE'!M$121</f>
        <v>1</v>
      </c>
      <c r="N13" s="115">
        <f>'[8]FY20 Initial Budget Allocat (2)'!N13/'FY20 Initial Budget Allocat FTE'!N$121</f>
        <v>1.1000000000000001</v>
      </c>
      <c r="O13" s="115">
        <f>'[8]FY20 Initial Budget Allocat (2)'!O13/'FY20 Initial Budget Allocat FTE'!O$121</f>
        <v>0</v>
      </c>
      <c r="P13" s="115">
        <f>'[8]FY20 Initial Budget Allocat (2)'!P13/'FY20 Initial Budget Allocat FTE'!P$121</f>
        <v>0</v>
      </c>
      <c r="Q13" s="115">
        <f>'[8]FY20 Initial Budget Allocat (2)'!Q13/'FY20 Initial Budget Allocat FTE'!Q$121</f>
        <v>0</v>
      </c>
      <c r="R13" s="115">
        <f>'[8]FY20 Initial Budget Allocat (2)'!R13/'FY20 Initial Budget Allocat FTE'!R$121</f>
        <v>1</v>
      </c>
      <c r="S13" s="115">
        <f>'[8]FY20 Initial Budget Allocat (2)'!S13/'FY20 Initial Budget Allocat FTE'!S$121</f>
        <v>1</v>
      </c>
      <c r="T13" s="115">
        <f>'[8]FY20 Initial Budget Allocat (2)'!T13/'FY20 Initial Budget Allocat FTE'!T$121</f>
        <v>2</v>
      </c>
      <c r="U13" s="115">
        <f>'[8]FY20 Initial Budget Allocat (2)'!U13/'FY20 Initial Budget Allocat FTE'!U$121</f>
        <v>1</v>
      </c>
      <c r="V13" s="115">
        <f>'[8]FY20 Initial Budget Allocat (2)'!V13/'FY20 Initial Budget Allocat FTE'!V$121</f>
        <v>1</v>
      </c>
      <c r="W13" s="115">
        <f>'[8]FY20 Initial Budget Allocat (2)'!W13/'FY20 Initial Budget Allocat FTE'!W$121</f>
        <v>1</v>
      </c>
      <c r="X13" s="115">
        <f>'[8]FY20 Initial Budget Allocat (2)'!X13/'FY20 Initial Budget Allocat FTE'!X$121</f>
        <v>1</v>
      </c>
      <c r="Y13" s="115">
        <f>'[8]FY20 Initial Budget Allocat (2)'!Y13/'FY20 Initial Budget Allocat FTE'!Y$121</f>
        <v>1.5000000000000002</v>
      </c>
      <c r="Z13" s="115">
        <f>'[8]FY20 Initial Budget Allocat (2)'!Z13/'FY20 Initial Budget Allocat FTE'!Z$121</f>
        <v>0</v>
      </c>
      <c r="AA13" s="115">
        <f>'[8]FY20 Initial Budget Allocat (2)'!AA13/'FY20 Initial Budget Allocat FTE'!AA$121</f>
        <v>0</v>
      </c>
      <c r="AB13" s="115">
        <f>'[8]FY20 Initial Budget Allocat (2)'!AB13/'FY20 Initial Budget Allocat FTE'!AB$121</f>
        <v>0</v>
      </c>
      <c r="AC13" s="115">
        <f>'[8]FY20 Initial Budget Allocat (2)'!AC13/'FY20 Initial Budget Allocat FTE'!AC$121</f>
        <v>4</v>
      </c>
      <c r="AD13" s="115">
        <f>'[8]FY20 Initial Budget Allocat (2)'!AD13/'FY20 Initial Budget Allocat FTE'!AD$121</f>
        <v>4</v>
      </c>
      <c r="AE13" s="115">
        <f>'[8]FY20 Initial Budget Allocat (2)'!AE13/'FY20 Initial Budget Allocat FTE'!AE$121</f>
        <v>0</v>
      </c>
      <c r="AF13" s="115">
        <f>'[8]FY20 Initial Budget Allocat (2)'!AF13/'FY20 Initial Budget Allocat FTE'!AF$121</f>
        <v>0</v>
      </c>
      <c r="AG13" s="115">
        <f>'[8]FY20 Initial Budget Allocat (2)'!AG13/'FY20 Initial Budget Allocat FTE'!AG$121</f>
        <v>3.0000000000000004</v>
      </c>
      <c r="AH13" s="115">
        <f>'[8]FY20 Initial Budget Allocat (2)'!AH13/'FY20 Initial Budget Allocat FTE'!AH$121</f>
        <v>3</v>
      </c>
      <c r="AI13" s="115">
        <f>'[8]FY20 Initial Budget Allocat (2)'!AI13/'FY20 Initial Budget Allocat FTE'!AI$121</f>
        <v>3.0000000000000004</v>
      </c>
      <c r="AJ13" s="115">
        <f>'[8]FY20 Initial Budget Allocat (2)'!AJ13/'FY20 Initial Budget Allocat FTE'!AJ$121</f>
        <v>4</v>
      </c>
      <c r="AK13" s="115">
        <f>'[8]FY20 Initial Budget Allocat (2)'!AK13/'FY20 Initial Budget Allocat FTE'!AK$121</f>
        <v>3.0000000000000004</v>
      </c>
      <c r="AL13" s="115">
        <f>'[8]FY20 Initial Budget Allocat (2)'!AL13/'FY20 Initial Budget Allocat FTE'!AL$121</f>
        <v>3.0000000000000004</v>
      </c>
      <c r="AM13" s="115">
        <f>'[8]FY20 Initial Budget Allocat (2)'!AM13/'FY20 Initial Budget Allocat FTE'!AM$121</f>
        <v>2</v>
      </c>
      <c r="AN13" s="115">
        <f>'[8]FY20 Initial Budget Allocat (2)'!AN13/'FY20 Initial Budget Allocat FTE'!AN$121</f>
        <v>0</v>
      </c>
      <c r="AO13" s="115">
        <f>'[8]FY20 Initial Budget Allocat (2)'!AO13/'FY20 Initial Budget Allocat FTE'!AO$121</f>
        <v>0</v>
      </c>
      <c r="AP13" s="115">
        <f>'[8]FY20 Initial Budget Allocat (2)'!AP13/'FY20 Initial Budget Allocat FTE'!AP$121</f>
        <v>0</v>
      </c>
      <c r="AQ13" s="115">
        <f>'[8]FY20 Initial Budget Allocat (2)'!AQ13/'FY20 Initial Budget Allocat FTE'!AQ$121</f>
        <v>0</v>
      </c>
      <c r="AR13" s="115">
        <f>'[8]FY20 Initial Budget Allocat (2)'!AR13/'FY20 Initial Budget Allocat FTE'!AR$121</f>
        <v>0</v>
      </c>
      <c r="AS13" s="115">
        <f>'[8]FY20 Initial Budget Allocat (2)'!AS13/'FY20 Initial Budget Allocat FTE'!AS$121</f>
        <v>0</v>
      </c>
      <c r="AT13" s="115">
        <f>'[8]FY20 Initial Budget Allocat (2)'!AT13/'FY20 Initial Budget Allocat FTE'!AT$121</f>
        <v>0</v>
      </c>
      <c r="AU13" s="115">
        <f>'[8]FY20 Initial Budget Allocat (2)'!AU13/'FY20 Initial Budget Allocat FTE'!AU$121</f>
        <v>0</v>
      </c>
      <c r="AV13" s="115">
        <f>'[8]FY20 Initial Budget Allocat (2)'!AV13/'FY20 Initial Budget Allocat FTE'!AV$121</f>
        <v>0</v>
      </c>
      <c r="AW13" s="115">
        <f>'[8]FY20 Initial Budget Allocat (2)'!AW13/'FY20 Initial Budget Allocat FTE'!AW$121</f>
        <v>0</v>
      </c>
      <c r="AX13" s="115">
        <f>'[8]FY20 Initial Budget Allocat (2)'!AX13/'FY20 Initial Budget Allocat FTE'!AX$121</f>
        <v>0.5</v>
      </c>
      <c r="AY13" s="115">
        <f>'[8]FY20 Initial Budget Allocat (2)'!AY13/'FY20 Initial Budget Allocat FTE'!AY$121</f>
        <v>1</v>
      </c>
      <c r="AZ13" s="115">
        <f>'[8]FY20 Initial Budget Allocat (2)'!AZ13/'FY20 Initial Budget Allocat FTE'!AZ$121</f>
        <v>3.0000000000000004</v>
      </c>
      <c r="BA13" s="115">
        <f>'[8]FY20 Initial Budget Allocat (2)'!BA13/'FY20 Initial Budget Allocat FTE'!BA$121</f>
        <v>0</v>
      </c>
      <c r="BB13" s="115">
        <f>'[8]FY20 Initial Budget Allocat (2)'!BB13/'FY20 Initial Budget Allocat FTE'!BB$121</f>
        <v>0</v>
      </c>
      <c r="BC13" s="115">
        <f>'[8]FY20 Initial Budget Allocat (2)'!BC13/'FY20 Initial Budget Allocat FTE'!BC$121</f>
        <v>0</v>
      </c>
      <c r="BD13" s="115">
        <f>'[8]FY20 Initial Budget Allocat (2)'!BD13/'FY20 Initial Budget Allocat FTE'!BD$121</f>
        <v>1</v>
      </c>
      <c r="BE13" s="115">
        <f>'[8]FY20 Initial Budget Allocat (2)'!BE13/'FY20 Initial Budget Allocat FTE'!BE$121</f>
        <v>0</v>
      </c>
      <c r="BF13" s="115">
        <f>'[8]FY20 Initial Budget Allocat (2)'!BF13/'FY20 Initial Budget Allocat FTE'!BF$121</f>
        <v>0</v>
      </c>
      <c r="BG13" s="115">
        <f>'[8]FY20 Initial Budget Allocat (2)'!BG13/'FY20 Initial Budget Allocat FTE'!BG$121</f>
        <v>0</v>
      </c>
      <c r="BH13" s="115">
        <f>'[8]FY20 Initial Budget Allocat (2)'!BH13/'FY20 Initial Budget Allocat FTE'!BH$121</f>
        <v>0</v>
      </c>
      <c r="BI13" s="115">
        <f>'[8]FY20 Initial Budget Allocat (2)'!BI13/'FY20 Initial Budget Allocat FTE'!BI$121</f>
        <v>0</v>
      </c>
      <c r="BJ13" s="79"/>
      <c r="BK13" s="79">
        <v>0</v>
      </c>
      <c r="BL13" s="79"/>
      <c r="BM13" s="79">
        <v>0</v>
      </c>
      <c r="BN13" s="79">
        <v>0</v>
      </c>
      <c r="BO13" s="79">
        <v>10600</v>
      </c>
      <c r="BP13" s="115">
        <f>'[8]FY20 Initial Budget Allocat (2)'!BP13/'FY20 Initial Budget Allocat FTE'!BP$121</f>
        <v>0</v>
      </c>
      <c r="BQ13" s="115">
        <f>'[8]FY20 Initial Budget Allocat (2)'!BQ13/'FY20 Initial Budget Allocat FTE'!BQ$121</f>
        <v>0</v>
      </c>
      <c r="BR13" s="115">
        <f>'[8]FY20 Initial Budget Allocat (2)'!BR13/'FY20 Initial Budget Allocat FTE'!BR$121</f>
        <v>0</v>
      </c>
      <c r="BS13" s="115">
        <f>'[8]FY20 Initial Budget Allocat (2)'!BS13/'FY20 Initial Budget Allocat FTE'!BS$121</f>
        <v>0</v>
      </c>
      <c r="BT13" s="115">
        <f>'[8]FY20 Initial Budget Allocat (2)'!BT13/'FY20 Initial Budget Allocat FTE'!BT$121</f>
        <v>0</v>
      </c>
      <c r="BU13" s="115">
        <f>'[8]FY20 Initial Budget Allocat (2)'!BU13/'FY20 Initial Budget Allocat FTE'!BU$121</f>
        <v>0</v>
      </c>
      <c r="BV13" s="115">
        <f>'[8]FY20 Initial Budget Allocat (2)'!BV13/'FY20 Initial Budget Allocat FTE'!BV$121</f>
        <v>0</v>
      </c>
      <c r="BW13" s="80">
        <v>0</v>
      </c>
      <c r="BX13" s="80">
        <v>0</v>
      </c>
      <c r="BY13" s="80">
        <v>0</v>
      </c>
      <c r="BZ13" s="80">
        <v>0</v>
      </c>
      <c r="CA13" s="115">
        <f>'[8]FY20 Initial Budget Allocat (2)'!CA13/'FY20 Initial Budget Allocat FTE'!CA$121</f>
        <v>0</v>
      </c>
      <c r="CB13" s="115">
        <f>'[8]FY20 Initial Budget Allocat (2)'!CB13/'FY20 Initial Budget Allocat FTE'!CB$121</f>
        <v>0</v>
      </c>
      <c r="CC13" s="80">
        <v>0</v>
      </c>
      <c r="CD13" s="115">
        <f>'[8]FY20 Initial Budget Allocat (2)'!CD13/'FY20 Initial Budget Allocat FTE'!CD$121</f>
        <v>0</v>
      </c>
      <c r="CE13" s="115">
        <f>'[8]FY20 Initial Budget Allocat (2)'!CE13/'FY20 Initial Budget Allocat FTE'!CE$121</f>
        <v>0</v>
      </c>
      <c r="CF13" s="115">
        <f>'[8]FY20 Initial Budget Allocat (2)'!CF13/'FY20 Initial Budget Allocat FTE'!CF$121</f>
        <v>0</v>
      </c>
      <c r="CG13" s="115">
        <f>'[8]FY20 Initial Budget Allocat (2)'!CG13/'FY20 Initial Budget Allocat FTE'!CG$121</f>
        <v>0</v>
      </c>
      <c r="CH13" s="115">
        <f>'[8]FY20 Initial Budget Allocat (2)'!CH13/'FY20 Initial Budget Allocat FTE'!CH$121</f>
        <v>0</v>
      </c>
      <c r="CI13" s="115">
        <f>'[8]FY20 Initial Budget Allocat (2)'!CI13/'FY20 Initial Budget Allocat FTE'!CI$121</f>
        <v>0</v>
      </c>
      <c r="CJ13" s="115">
        <f>'[8]FY20 Initial Budget Allocat (2)'!CJ13/'FY20 Initial Budget Allocat FTE'!CJ$121</f>
        <v>0</v>
      </c>
      <c r="CK13" s="79">
        <v>0</v>
      </c>
      <c r="CL13" s="79">
        <v>0</v>
      </c>
      <c r="CM13" s="79">
        <v>54082.8</v>
      </c>
      <c r="CN13" s="79">
        <v>0</v>
      </c>
      <c r="CO13" s="115">
        <f>'[8]FY20 Initial Budget Allocat (2)'!CO13/'FY20 Initial Budget Allocat FTE'!CO$121</f>
        <v>0</v>
      </c>
      <c r="CP13" s="79">
        <v>0</v>
      </c>
      <c r="CQ13" s="79">
        <v>0</v>
      </c>
      <c r="CR13" s="79">
        <v>0</v>
      </c>
      <c r="CS13" s="79">
        <v>24123.214092140923</v>
      </c>
      <c r="CT13" s="115">
        <f>'[8]FY20 Initial Budget Allocat (2)'!CT13/'FY20 Initial Budget Allocat FTE'!CT$121</f>
        <v>0</v>
      </c>
      <c r="CU13" s="115">
        <f>'[8]FY20 Initial Budget Allocat (2)'!CU13/'FY20 Initial Budget Allocat FTE'!CU$121</f>
        <v>0</v>
      </c>
      <c r="CV13" s="79"/>
      <c r="CW13" s="79">
        <v>0</v>
      </c>
      <c r="CX13" s="115">
        <f>'[8]FY20 Initial Budget Allocat (2)'!CX13/'FY20 Initial Budget Allocat FTE'!CX$121</f>
        <v>0</v>
      </c>
      <c r="CY13" s="79">
        <v>0</v>
      </c>
      <c r="CZ13" s="79">
        <v>0</v>
      </c>
      <c r="DA13" s="79">
        <v>45200</v>
      </c>
      <c r="DB13" s="79">
        <v>75512.770463920926</v>
      </c>
      <c r="DC13" s="82">
        <v>0</v>
      </c>
      <c r="DD13" s="79">
        <v>0</v>
      </c>
      <c r="DE13" s="79"/>
      <c r="DF13" s="79">
        <v>4200</v>
      </c>
      <c r="DG13" s="79">
        <v>0</v>
      </c>
      <c r="DH13" s="83">
        <v>0</v>
      </c>
      <c r="DI13" s="79">
        <v>10849.453484207321</v>
      </c>
      <c r="DJ13" s="79">
        <v>4903952.9748617094</v>
      </c>
      <c r="DK13" s="84">
        <v>-4.8617096617817879E-3</v>
      </c>
      <c r="DL13" s="84">
        <v>0</v>
      </c>
      <c r="DM13" s="84">
        <f t="shared" si="0"/>
        <v>4903952.97</v>
      </c>
      <c r="DN13" s="116">
        <f t="shared" si="1"/>
        <v>7</v>
      </c>
      <c r="DO13" s="116">
        <f t="shared" si="2"/>
        <v>7</v>
      </c>
      <c r="DP13" s="116">
        <f t="shared" si="3"/>
        <v>15</v>
      </c>
      <c r="DQ13" s="116">
        <f t="shared" si="4"/>
        <v>5.5</v>
      </c>
      <c r="DR13" s="116">
        <f t="shared" si="5"/>
        <v>0</v>
      </c>
    </row>
    <row r="14" spans="1:122" x14ac:dyDescent="0.25">
      <c r="A14" s="76">
        <v>213</v>
      </c>
      <c r="B14" s="76" t="s">
        <v>149</v>
      </c>
      <c r="C14" s="77" t="s">
        <v>150</v>
      </c>
      <c r="D14" s="41">
        <v>4</v>
      </c>
      <c r="E14" s="78">
        <v>675</v>
      </c>
      <c r="F14" s="78">
        <v>365.48477157360406</v>
      </c>
      <c r="G14" s="115">
        <f>'[8]FY20 Initial Budget Allocat (2)'!G14/'FY20 Initial Budget Allocat FTE'!G$121</f>
        <v>1</v>
      </c>
      <c r="H14" s="115">
        <f>'[8]FY20 Initial Budget Allocat (2)'!H14/'FY20 Initial Budget Allocat FTE'!H$121</f>
        <v>1</v>
      </c>
      <c r="I14" s="115">
        <f>'[8]FY20 Initial Budget Allocat (2)'!I14/'FY20 Initial Budget Allocat FTE'!I$121</f>
        <v>1.8</v>
      </c>
      <c r="J14" s="115">
        <f>'[8]FY20 Initial Budget Allocat (2)'!J14/'FY20 Initial Budget Allocat FTE'!J$121</f>
        <v>1</v>
      </c>
      <c r="K14" s="115">
        <f>'[8]FY20 Initial Budget Allocat (2)'!K14/'FY20 Initial Budget Allocat FTE'!K$121</f>
        <v>0</v>
      </c>
      <c r="L14" s="115">
        <f>'[8]FY20 Initial Budget Allocat (2)'!L14/'FY20 Initial Budget Allocat FTE'!L$121</f>
        <v>1</v>
      </c>
      <c r="M14" s="115">
        <f>'[8]FY20 Initial Budget Allocat (2)'!M14/'FY20 Initial Budget Allocat FTE'!M$121</f>
        <v>1</v>
      </c>
      <c r="N14" s="115">
        <f>'[8]FY20 Initial Budget Allocat (2)'!N14/'FY20 Initial Budget Allocat FTE'!N$121</f>
        <v>1.7</v>
      </c>
      <c r="O14" s="115">
        <f>'[8]FY20 Initial Budget Allocat (2)'!O14/'FY20 Initial Budget Allocat FTE'!O$121</f>
        <v>0</v>
      </c>
      <c r="P14" s="115">
        <f>'[8]FY20 Initial Budget Allocat (2)'!P14/'FY20 Initial Budget Allocat FTE'!P$121</f>
        <v>0</v>
      </c>
      <c r="Q14" s="115">
        <f>'[8]FY20 Initial Budget Allocat (2)'!Q14/'FY20 Initial Budget Allocat FTE'!Q$121</f>
        <v>0</v>
      </c>
      <c r="R14" s="115">
        <f>'[8]FY20 Initial Budget Allocat (2)'!R14/'FY20 Initial Budget Allocat FTE'!R$121</f>
        <v>1</v>
      </c>
      <c r="S14" s="115">
        <f>'[8]FY20 Initial Budget Allocat (2)'!S14/'FY20 Initial Budget Allocat FTE'!S$121</f>
        <v>1</v>
      </c>
      <c r="T14" s="115">
        <f>'[8]FY20 Initial Budget Allocat (2)'!T14/'FY20 Initial Budget Allocat FTE'!T$121</f>
        <v>4</v>
      </c>
      <c r="U14" s="115">
        <f>'[8]FY20 Initial Budget Allocat (2)'!U14/'FY20 Initial Budget Allocat FTE'!U$121</f>
        <v>1</v>
      </c>
      <c r="V14" s="115">
        <f>'[8]FY20 Initial Budget Allocat (2)'!V14/'FY20 Initial Budget Allocat FTE'!V$121</f>
        <v>1</v>
      </c>
      <c r="W14" s="115">
        <f>'[8]FY20 Initial Budget Allocat (2)'!W14/'FY20 Initial Budget Allocat FTE'!W$121</f>
        <v>1</v>
      </c>
      <c r="X14" s="115">
        <f>'[8]FY20 Initial Budget Allocat (2)'!X14/'FY20 Initial Budget Allocat FTE'!X$121</f>
        <v>1</v>
      </c>
      <c r="Y14" s="115">
        <f>'[8]FY20 Initial Budget Allocat (2)'!Y14/'FY20 Initial Budget Allocat FTE'!Y$121</f>
        <v>2.5</v>
      </c>
      <c r="Z14" s="115">
        <f>'[8]FY20 Initial Budget Allocat (2)'!Z14/'FY20 Initial Budget Allocat FTE'!Z$121</f>
        <v>0</v>
      </c>
      <c r="AA14" s="115">
        <f>'[8]FY20 Initial Budget Allocat (2)'!AA14/'FY20 Initial Budget Allocat FTE'!AA$121</f>
        <v>2</v>
      </c>
      <c r="AB14" s="115">
        <f>'[8]FY20 Initial Budget Allocat (2)'!AB14/'FY20 Initial Budget Allocat FTE'!AB$121</f>
        <v>2</v>
      </c>
      <c r="AC14" s="115">
        <f>'[8]FY20 Initial Budget Allocat (2)'!AC14/'FY20 Initial Budget Allocat FTE'!AC$121</f>
        <v>1</v>
      </c>
      <c r="AD14" s="115">
        <f>'[8]FY20 Initial Budget Allocat (2)'!AD14/'FY20 Initial Budget Allocat FTE'!AD$121</f>
        <v>1</v>
      </c>
      <c r="AE14" s="115">
        <f>'[8]FY20 Initial Budget Allocat (2)'!AE14/'FY20 Initial Budget Allocat FTE'!AE$121</f>
        <v>3.0000000000000004</v>
      </c>
      <c r="AF14" s="115">
        <f>'[8]FY20 Initial Budget Allocat (2)'!AF14/'FY20 Initial Budget Allocat FTE'!AF$121</f>
        <v>3</v>
      </c>
      <c r="AG14" s="115">
        <f>'[8]FY20 Initial Budget Allocat (2)'!AG14/'FY20 Initial Budget Allocat FTE'!AG$121</f>
        <v>4</v>
      </c>
      <c r="AH14" s="115">
        <f>'[8]FY20 Initial Budget Allocat (2)'!AH14/'FY20 Initial Budget Allocat FTE'!AH$121</f>
        <v>4</v>
      </c>
      <c r="AI14" s="115">
        <f>'[8]FY20 Initial Budget Allocat (2)'!AI14/'FY20 Initial Budget Allocat FTE'!AI$121</f>
        <v>3.0000000000000004</v>
      </c>
      <c r="AJ14" s="115">
        <f>'[8]FY20 Initial Budget Allocat (2)'!AJ14/'FY20 Initial Budget Allocat FTE'!AJ$121</f>
        <v>4</v>
      </c>
      <c r="AK14" s="115">
        <f>'[8]FY20 Initial Budget Allocat (2)'!AK14/'FY20 Initial Budget Allocat FTE'!AK$121</f>
        <v>4</v>
      </c>
      <c r="AL14" s="115">
        <f>'[8]FY20 Initial Budget Allocat (2)'!AL14/'FY20 Initial Budget Allocat FTE'!AL$121</f>
        <v>3.0000000000000004</v>
      </c>
      <c r="AM14" s="115">
        <f>'[8]FY20 Initial Budget Allocat (2)'!AM14/'FY20 Initial Budget Allocat FTE'!AM$121</f>
        <v>4</v>
      </c>
      <c r="AN14" s="115">
        <f>'[8]FY20 Initial Budget Allocat (2)'!AN14/'FY20 Initial Budget Allocat FTE'!AN$121</f>
        <v>0</v>
      </c>
      <c r="AO14" s="115">
        <f>'[8]FY20 Initial Budget Allocat (2)'!AO14/'FY20 Initial Budget Allocat FTE'!AO$121</f>
        <v>3.5</v>
      </c>
      <c r="AP14" s="115">
        <f>'[8]FY20 Initial Budget Allocat (2)'!AP14/'FY20 Initial Budget Allocat FTE'!AP$121</f>
        <v>2.2999999999999998</v>
      </c>
      <c r="AQ14" s="115">
        <f>'[8]FY20 Initial Budget Allocat (2)'!AQ14/'FY20 Initial Budget Allocat FTE'!AQ$121</f>
        <v>0</v>
      </c>
      <c r="AR14" s="115">
        <f>'[8]FY20 Initial Budget Allocat (2)'!AR14/'FY20 Initial Budget Allocat FTE'!AR$121</f>
        <v>0</v>
      </c>
      <c r="AS14" s="115">
        <f>'[8]FY20 Initial Budget Allocat (2)'!AS14/'FY20 Initial Budget Allocat FTE'!AS$121</f>
        <v>0</v>
      </c>
      <c r="AT14" s="115">
        <f>'[8]FY20 Initial Budget Allocat (2)'!AT14/'FY20 Initial Budget Allocat FTE'!AT$121</f>
        <v>0</v>
      </c>
      <c r="AU14" s="115">
        <f>'[8]FY20 Initial Budget Allocat (2)'!AU14/'FY20 Initial Budget Allocat FTE'!AU$121</f>
        <v>0</v>
      </c>
      <c r="AV14" s="115">
        <f>'[8]FY20 Initial Budget Allocat (2)'!AV14/'FY20 Initial Budget Allocat FTE'!AV$121</f>
        <v>0</v>
      </c>
      <c r="AW14" s="115">
        <f>'[8]FY20 Initial Budget Allocat (2)'!AW14/'FY20 Initial Budget Allocat FTE'!AW$121</f>
        <v>0</v>
      </c>
      <c r="AX14" s="115">
        <f>'[8]FY20 Initial Budget Allocat (2)'!AX14/'FY20 Initial Budget Allocat FTE'!AX$121</f>
        <v>1</v>
      </c>
      <c r="AY14" s="115">
        <f>'[8]FY20 Initial Budget Allocat (2)'!AY14/'FY20 Initial Budget Allocat FTE'!AY$121</f>
        <v>3.0000000000000004</v>
      </c>
      <c r="AZ14" s="115">
        <f>'[8]FY20 Initial Budget Allocat (2)'!AZ14/'FY20 Initial Budget Allocat FTE'!AZ$121</f>
        <v>8</v>
      </c>
      <c r="BA14" s="115">
        <f>'[8]FY20 Initial Budget Allocat (2)'!BA14/'FY20 Initial Budget Allocat FTE'!BA$121</f>
        <v>2</v>
      </c>
      <c r="BB14" s="115">
        <f>'[8]FY20 Initial Budget Allocat (2)'!BB14/'FY20 Initial Budget Allocat FTE'!BB$121</f>
        <v>0</v>
      </c>
      <c r="BC14" s="115">
        <f>'[8]FY20 Initial Budget Allocat (2)'!BC14/'FY20 Initial Budget Allocat FTE'!BC$121</f>
        <v>0</v>
      </c>
      <c r="BD14" s="115">
        <f>'[8]FY20 Initial Budget Allocat (2)'!BD14/'FY20 Initial Budget Allocat FTE'!BD$121</f>
        <v>22.999999999999996</v>
      </c>
      <c r="BE14" s="115">
        <f>'[8]FY20 Initial Budget Allocat (2)'!BE14/'FY20 Initial Budget Allocat FTE'!BE$121</f>
        <v>1</v>
      </c>
      <c r="BF14" s="115">
        <f>'[8]FY20 Initial Budget Allocat (2)'!BF14/'FY20 Initial Budget Allocat FTE'!BF$121</f>
        <v>5</v>
      </c>
      <c r="BG14" s="115">
        <f>'[8]FY20 Initial Budget Allocat (2)'!BG14/'FY20 Initial Budget Allocat FTE'!BG$121</f>
        <v>2.0628967591045773</v>
      </c>
      <c r="BH14" s="115">
        <f>'[8]FY20 Initial Budget Allocat (2)'!BH14/'FY20 Initial Budget Allocat FTE'!BH$121</f>
        <v>8</v>
      </c>
      <c r="BI14" s="115">
        <f>'[8]FY20 Initial Budget Allocat (2)'!BI14/'FY20 Initial Budget Allocat FTE'!BI$121</f>
        <v>1</v>
      </c>
      <c r="BJ14" s="79"/>
      <c r="BK14" s="79">
        <v>0</v>
      </c>
      <c r="BL14" s="79">
        <v>35539.5</v>
      </c>
      <c r="BM14" s="79">
        <v>243733.19</v>
      </c>
      <c r="BN14" s="79">
        <v>3878.43</v>
      </c>
      <c r="BO14" s="79">
        <v>0</v>
      </c>
      <c r="BP14" s="115">
        <f>'[8]FY20 Initial Budget Allocat (2)'!BP14/'FY20 Initial Budget Allocat FTE'!BP$121</f>
        <v>0</v>
      </c>
      <c r="BQ14" s="115">
        <f>'[8]FY20 Initial Budget Allocat (2)'!BQ14/'FY20 Initial Budget Allocat FTE'!BQ$121</f>
        <v>0</v>
      </c>
      <c r="BR14" s="115">
        <f>'[8]FY20 Initial Budget Allocat (2)'!BR14/'FY20 Initial Budget Allocat FTE'!BR$121</f>
        <v>0</v>
      </c>
      <c r="BS14" s="115">
        <f>'[8]FY20 Initial Budget Allocat (2)'!BS14/'FY20 Initial Budget Allocat FTE'!BS$121</f>
        <v>0</v>
      </c>
      <c r="BT14" s="115">
        <f>'[8]FY20 Initial Budget Allocat (2)'!BT14/'FY20 Initial Budget Allocat FTE'!BT$121</f>
        <v>0</v>
      </c>
      <c r="BU14" s="115">
        <f>'[8]FY20 Initial Budget Allocat (2)'!BU14/'FY20 Initial Budget Allocat FTE'!BU$121</f>
        <v>0</v>
      </c>
      <c r="BV14" s="115">
        <f>'[8]FY20 Initial Budget Allocat (2)'!BV14/'FY20 Initial Budget Allocat FTE'!BV$121</f>
        <v>0</v>
      </c>
      <c r="BW14" s="80">
        <v>0</v>
      </c>
      <c r="BX14" s="80">
        <v>0</v>
      </c>
      <c r="BY14" s="80">
        <v>0</v>
      </c>
      <c r="BZ14" s="80">
        <v>0</v>
      </c>
      <c r="CA14" s="115">
        <f>'[8]FY20 Initial Budget Allocat (2)'!CA14/'FY20 Initial Budget Allocat FTE'!CA$121</f>
        <v>0</v>
      </c>
      <c r="CB14" s="115">
        <f>'[8]FY20 Initial Budget Allocat (2)'!CB14/'FY20 Initial Budget Allocat FTE'!CB$121</f>
        <v>0</v>
      </c>
      <c r="CC14" s="80">
        <v>0</v>
      </c>
      <c r="CD14" s="115">
        <f>'[8]FY20 Initial Budget Allocat (2)'!CD14/'FY20 Initial Budget Allocat FTE'!CD$121</f>
        <v>0</v>
      </c>
      <c r="CE14" s="115">
        <f>'[8]FY20 Initial Budget Allocat (2)'!CE14/'FY20 Initial Budget Allocat FTE'!CE$121</f>
        <v>0</v>
      </c>
      <c r="CF14" s="115">
        <f>'[8]FY20 Initial Budget Allocat (2)'!CF14/'FY20 Initial Budget Allocat FTE'!CF$121</f>
        <v>0</v>
      </c>
      <c r="CG14" s="115">
        <f>'[8]FY20 Initial Budget Allocat (2)'!CG14/'FY20 Initial Budget Allocat FTE'!CG$121</f>
        <v>0</v>
      </c>
      <c r="CH14" s="115">
        <f>'[8]FY20 Initial Budget Allocat (2)'!CH14/'FY20 Initial Budget Allocat FTE'!CH$121</f>
        <v>0</v>
      </c>
      <c r="CI14" s="115">
        <f>'[8]FY20 Initial Budget Allocat (2)'!CI14/'FY20 Initial Budget Allocat FTE'!CI$121</f>
        <v>2</v>
      </c>
      <c r="CJ14" s="115">
        <f>'[8]FY20 Initial Budget Allocat (2)'!CJ14/'FY20 Initial Budget Allocat FTE'!CJ$121</f>
        <v>0</v>
      </c>
      <c r="CK14" s="79">
        <v>23000</v>
      </c>
      <c r="CL14" s="79">
        <v>5000</v>
      </c>
      <c r="CM14" s="79">
        <v>162248.4</v>
      </c>
      <c r="CN14" s="79">
        <v>100000</v>
      </c>
      <c r="CO14" s="115">
        <f>'[8]FY20 Initial Budget Allocat (2)'!CO14/'FY20 Initial Budget Allocat FTE'!CO$121</f>
        <v>0</v>
      </c>
      <c r="CP14" s="79">
        <v>0</v>
      </c>
      <c r="CQ14" s="79">
        <v>7309.6954314720815</v>
      </c>
      <c r="CR14" s="79">
        <v>0</v>
      </c>
      <c r="CS14" s="79">
        <v>38864.516422287386</v>
      </c>
      <c r="CT14" s="115">
        <f>'[8]FY20 Initial Budget Allocat (2)'!CT14/'FY20 Initial Budget Allocat FTE'!CT$121</f>
        <v>0</v>
      </c>
      <c r="CU14" s="115">
        <f>'[8]FY20 Initial Budget Allocat (2)'!CU14/'FY20 Initial Budget Allocat FTE'!CU$121</f>
        <v>0</v>
      </c>
      <c r="CV14" s="79"/>
      <c r="CW14" s="79">
        <v>0</v>
      </c>
      <c r="CX14" s="115">
        <f>'[8]FY20 Initial Budget Allocat (2)'!CX14/'FY20 Initial Budget Allocat FTE'!CX$121</f>
        <v>0</v>
      </c>
      <c r="CY14" s="79">
        <v>0</v>
      </c>
      <c r="CZ14" s="79">
        <v>0</v>
      </c>
      <c r="DA14" s="79">
        <v>67500</v>
      </c>
      <c r="DB14" s="79">
        <v>172399.98117337548</v>
      </c>
      <c r="DC14" s="82">
        <v>0</v>
      </c>
      <c r="DD14" s="79">
        <v>0</v>
      </c>
      <c r="DE14" s="79"/>
      <c r="DF14" s="79">
        <v>55800</v>
      </c>
      <c r="DG14" s="79">
        <v>0</v>
      </c>
      <c r="DH14" s="83">
        <v>0</v>
      </c>
      <c r="DI14" s="79">
        <v>17166.408263456389</v>
      </c>
      <c r="DJ14" s="79">
        <v>11587325.577833066</v>
      </c>
      <c r="DK14" s="84">
        <v>2.1669343113899231E-3</v>
      </c>
      <c r="DL14" s="84">
        <v>0</v>
      </c>
      <c r="DM14" s="84">
        <f t="shared" si="0"/>
        <v>11587325.58</v>
      </c>
      <c r="DN14" s="116">
        <f t="shared" si="1"/>
        <v>10</v>
      </c>
      <c r="DO14" s="116">
        <f t="shared" si="2"/>
        <v>10</v>
      </c>
      <c r="DP14" s="116">
        <f t="shared" si="3"/>
        <v>23.8</v>
      </c>
      <c r="DQ14" s="116">
        <f t="shared" si="4"/>
        <v>40</v>
      </c>
      <c r="DR14" s="116">
        <f t="shared" si="5"/>
        <v>3</v>
      </c>
    </row>
    <row r="15" spans="1:122" x14ac:dyDescent="0.25">
      <c r="A15" s="76">
        <v>347</v>
      </c>
      <c r="B15" s="76" t="s">
        <v>151</v>
      </c>
      <c r="C15" s="77" t="s">
        <v>152</v>
      </c>
      <c r="D15" s="41">
        <v>5</v>
      </c>
      <c r="E15" s="78">
        <v>311</v>
      </c>
      <c r="F15" s="78">
        <v>175.9349593495935</v>
      </c>
      <c r="G15" s="115">
        <f>'[8]FY20 Initial Budget Allocat (2)'!G15/'FY20 Initial Budget Allocat FTE'!G$121</f>
        <v>1</v>
      </c>
      <c r="H15" s="115">
        <f>'[8]FY20 Initial Budget Allocat (2)'!H15/'FY20 Initial Budget Allocat FTE'!H$121</f>
        <v>1</v>
      </c>
      <c r="I15" s="115">
        <f>'[8]FY20 Initial Budget Allocat (2)'!I15/'FY20 Initial Budget Allocat FTE'!I$121</f>
        <v>1</v>
      </c>
      <c r="J15" s="115">
        <f>'[8]FY20 Initial Budget Allocat (2)'!J15/'FY20 Initial Budget Allocat FTE'!J$121</f>
        <v>1</v>
      </c>
      <c r="K15" s="115">
        <f>'[8]FY20 Initial Budget Allocat (2)'!K15/'FY20 Initial Budget Allocat FTE'!K$121</f>
        <v>0</v>
      </c>
      <c r="L15" s="115">
        <f>'[8]FY20 Initial Budget Allocat (2)'!L15/'FY20 Initial Budget Allocat FTE'!L$121</f>
        <v>1</v>
      </c>
      <c r="M15" s="115">
        <f>'[8]FY20 Initial Budget Allocat (2)'!M15/'FY20 Initial Budget Allocat FTE'!M$121</f>
        <v>1</v>
      </c>
      <c r="N15" s="115">
        <f>'[8]FY20 Initial Budget Allocat (2)'!N15/'FY20 Initial Budget Allocat FTE'!N$121</f>
        <v>0</v>
      </c>
      <c r="O15" s="115">
        <f>'[8]FY20 Initial Budget Allocat (2)'!O15/'FY20 Initial Budget Allocat FTE'!O$121</f>
        <v>0</v>
      </c>
      <c r="P15" s="115">
        <f>'[8]FY20 Initial Budget Allocat (2)'!P15/'FY20 Initial Budget Allocat FTE'!P$121</f>
        <v>0</v>
      </c>
      <c r="Q15" s="115">
        <f>'[8]FY20 Initial Budget Allocat (2)'!Q15/'FY20 Initial Budget Allocat FTE'!Q$121</f>
        <v>0</v>
      </c>
      <c r="R15" s="115">
        <f>'[8]FY20 Initial Budget Allocat (2)'!R15/'FY20 Initial Budget Allocat FTE'!R$121</f>
        <v>1</v>
      </c>
      <c r="S15" s="115">
        <f>'[8]FY20 Initial Budget Allocat (2)'!S15/'FY20 Initial Budget Allocat FTE'!S$121</f>
        <v>1</v>
      </c>
      <c r="T15" s="115">
        <f>'[8]FY20 Initial Budget Allocat (2)'!T15/'FY20 Initial Budget Allocat FTE'!T$121</f>
        <v>3</v>
      </c>
      <c r="U15" s="115">
        <f>'[8]FY20 Initial Budget Allocat (2)'!U15/'FY20 Initial Budget Allocat FTE'!U$121</f>
        <v>1</v>
      </c>
      <c r="V15" s="115">
        <f>'[8]FY20 Initial Budget Allocat (2)'!V15/'FY20 Initial Budget Allocat FTE'!V$121</f>
        <v>0</v>
      </c>
      <c r="W15" s="115">
        <f>'[8]FY20 Initial Budget Allocat (2)'!W15/'FY20 Initial Budget Allocat FTE'!W$121</f>
        <v>0</v>
      </c>
      <c r="X15" s="115">
        <f>'[8]FY20 Initial Budget Allocat (2)'!X15/'FY20 Initial Budget Allocat FTE'!X$121</f>
        <v>0</v>
      </c>
      <c r="Y15" s="115">
        <f>'[8]FY20 Initial Budget Allocat (2)'!Y15/'FY20 Initial Budget Allocat FTE'!Y$121</f>
        <v>0</v>
      </c>
      <c r="Z15" s="115">
        <f>'[8]FY20 Initial Budget Allocat (2)'!Z15/'FY20 Initial Budget Allocat FTE'!Z$121</f>
        <v>0</v>
      </c>
      <c r="AA15" s="115">
        <f>'[8]FY20 Initial Budget Allocat (2)'!AA15/'FY20 Initial Budget Allocat FTE'!AA$121</f>
        <v>0</v>
      </c>
      <c r="AB15" s="115">
        <f>'[8]FY20 Initial Budget Allocat (2)'!AB15/'FY20 Initial Budget Allocat FTE'!AB$121</f>
        <v>0</v>
      </c>
      <c r="AC15" s="115">
        <f>'[8]FY20 Initial Budget Allocat (2)'!AC15/'FY20 Initial Budget Allocat FTE'!AC$121</f>
        <v>0</v>
      </c>
      <c r="AD15" s="115">
        <f>'[8]FY20 Initial Budget Allocat (2)'!AD15/'FY20 Initial Budget Allocat FTE'!AD$121</f>
        <v>0</v>
      </c>
      <c r="AE15" s="115">
        <f>'[8]FY20 Initial Budget Allocat (2)'!AE15/'FY20 Initial Budget Allocat FTE'!AE$121</f>
        <v>0</v>
      </c>
      <c r="AF15" s="115">
        <f>'[8]FY20 Initial Budget Allocat (2)'!AF15/'FY20 Initial Budget Allocat FTE'!AF$121</f>
        <v>0</v>
      </c>
      <c r="AG15" s="115">
        <f>'[8]FY20 Initial Budget Allocat (2)'!AG15/'FY20 Initial Budget Allocat FTE'!AG$121</f>
        <v>0</v>
      </c>
      <c r="AH15" s="115">
        <f>'[8]FY20 Initial Budget Allocat (2)'!AH15/'FY20 Initial Budget Allocat FTE'!AH$121</f>
        <v>0</v>
      </c>
      <c r="AI15" s="115">
        <f>'[8]FY20 Initial Budget Allocat (2)'!AI15/'FY20 Initial Budget Allocat FTE'!AI$121</f>
        <v>0</v>
      </c>
      <c r="AJ15" s="115">
        <f>'[8]FY20 Initial Budget Allocat (2)'!AJ15/'FY20 Initial Budget Allocat FTE'!AJ$121</f>
        <v>0</v>
      </c>
      <c r="AK15" s="115">
        <f>'[8]FY20 Initial Budget Allocat (2)'!AK15/'FY20 Initial Budget Allocat FTE'!AK$121</f>
        <v>0</v>
      </c>
      <c r="AL15" s="115">
        <f>'[8]FY20 Initial Budget Allocat (2)'!AL15/'FY20 Initial Budget Allocat FTE'!AL$121</f>
        <v>0</v>
      </c>
      <c r="AM15" s="115">
        <f>'[8]FY20 Initial Budget Allocat (2)'!AM15/'FY20 Initial Budget Allocat FTE'!AM$121</f>
        <v>0</v>
      </c>
      <c r="AN15" s="115">
        <f>'[8]FY20 Initial Budget Allocat (2)'!AN15/'FY20 Initial Budget Allocat FTE'!AN$121</f>
        <v>4.0999999999999996</v>
      </c>
      <c r="AO15" s="115">
        <f>'[8]FY20 Initial Budget Allocat (2)'!AO15/'FY20 Initial Budget Allocat FTE'!AO$121</f>
        <v>5.5999999999999988</v>
      </c>
      <c r="AP15" s="115">
        <f>'[8]FY20 Initial Budget Allocat (2)'!AP15/'FY20 Initial Budget Allocat FTE'!AP$121</f>
        <v>4.4000000000000004</v>
      </c>
      <c r="AQ15" s="115">
        <f>'[8]FY20 Initial Budget Allocat (2)'!AQ15/'FY20 Initial Budget Allocat FTE'!AQ$121</f>
        <v>0</v>
      </c>
      <c r="AR15" s="115">
        <f>'[8]FY20 Initial Budget Allocat (2)'!AR15/'FY20 Initial Budget Allocat FTE'!AR$121</f>
        <v>0</v>
      </c>
      <c r="AS15" s="115">
        <f>'[8]FY20 Initial Budget Allocat (2)'!AS15/'FY20 Initial Budget Allocat FTE'!AS$121</f>
        <v>0</v>
      </c>
      <c r="AT15" s="115">
        <f>'[8]FY20 Initial Budget Allocat (2)'!AT15/'FY20 Initial Budget Allocat FTE'!AT$121</f>
        <v>0</v>
      </c>
      <c r="AU15" s="115">
        <f>'[8]FY20 Initial Budget Allocat (2)'!AU15/'FY20 Initial Budget Allocat FTE'!AU$121</f>
        <v>0</v>
      </c>
      <c r="AV15" s="115">
        <f>'[8]FY20 Initial Budget Allocat (2)'!AV15/'FY20 Initial Budget Allocat FTE'!AV$121</f>
        <v>0</v>
      </c>
      <c r="AW15" s="115">
        <f>'[8]FY20 Initial Budget Allocat (2)'!AW15/'FY20 Initial Budget Allocat FTE'!AW$121</f>
        <v>0</v>
      </c>
      <c r="AX15" s="115">
        <f>'[8]FY20 Initial Budget Allocat (2)'!AX15/'FY20 Initial Budget Allocat FTE'!AX$121</f>
        <v>1</v>
      </c>
      <c r="AY15" s="115">
        <f>'[8]FY20 Initial Budget Allocat (2)'!AY15/'FY20 Initial Budget Allocat FTE'!AY$121</f>
        <v>2</v>
      </c>
      <c r="AZ15" s="115">
        <f>'[8]FY20 Initial Budget Allocat (2)'!AZ15/'FY20 Initial Budget Allocat FTE'!AZ$121</f>
        <v>7</v>
      </c>
      <c r="BA15" s="115">
        <f>'[8]FY20 Initial Budget Allocat (2)'!BA15/'FY20 Initial Budget Allocat FTE'!BA$121</f>
        <v>4</v>
      </c>
      <c r="BB15" s="115">
        <f>'[8]FY20 Initial Budget Allocat (2)'!BB15/'FY20 Initial Budget Allocat FTE'!BB$121</f>
        <v>0</v>
      </c>
      <c r="BC15" s="115">
        <f>'[8]FY20 Initial Budget Allocat (2)'!BC15/'FY20 Initial Budget Allocat FTE'!BC$121</f>
        <v>0</v>
      </c>
      <c r="BD15" s="115">
        <f>'[8]FY20 Initial Budget Allocat (2)'!BD15/'FY20 Initial Budget Allocat FTE'!BD$121</f>
        <v>0.45454545454545453</v>
      </c>
      <c r="BE15" s="115">
        <f>'[8]FY20 Initial Budget Allocat (2)'!BE15/'FY20 Initial Budget Allocat FTE'!BE$121</f>
        <v>0</v>
      </c>
      <c r="BF15" s="115">
        <f>'[8]FY20 Initial Budget Allocat (2)'!BF15/'FY20 Initial Budget Allocat FTE'!BF$121</f>
        <v>0</v>
      </c>
      <c r="BG15" s="115">
        <f>'[8]FY20 Initial Budget Allocat (2)'!BG15/'FY20 Initial Budget Allocat FTE'!BG$121</f>
        <v>0</v>
      </c>
      <c r="BH15" s="115">
        <f>'[8]FY20 Initial Budget Allocat (2)'!BH15/'FY20 Initial Budget Allocat FTE'!BH$121</f>
        <v>0</v>
      </c>
      <c r="BI15" s="115">
        <f>'[8]FY20 Initial Budget Allocat (2)'!BI15/'FY20 Initial Budget Allocat FTE'!BI$121</f>
        <v>0</v>
      </c>
      <c r="BJ15" s="79"/>
      <c r="BK15" s="79">
        <v>0</v>
      </c>
      <c r="BL15" s="79"/>
      <c r="BM15" s="79">
        <v>113142.61</v>
      </c>
      <c r="BN15" s="79">
        <v>1800.39</v>
      </c>
      <c r="BO15" s="79">
        <v>0</v>
      </c>
      <c r="BP15" s="115">
        <f>'[8]FY20 Initial Budget Allocat (2)'!BP15/'FY20 Initial Budget Allocat FTE'!BP$121</f>
        <v>0</v>
      </c>
      <c r="BQ15" s="115">
        <f>'[8]FY20 Initial Budget Allocat (2)'!BQ15/'FY20 Initial Budget Allocat FTE'!BQ$121</f>
        <v>0</v>
      </c>
      <c r="BR15" s="115">
        <f>'[8]FY20 Initial Budget Allocat (2)'!BR15/'FY20 Initial Budget Allocat FTE'!BR$121</f>
        <v>0</v>
      </c>
      <c r="BS15" s="115">
        <f>'[8]FY20 Initial Budget Allocat (2)'!BS15/'FY20 Initial Budget Allocat FTE'!BS$121</f>
        <v>0</v>
      </c>
      <c r="BT15" s="115">
        <f>'[8]FY20 Initial Budget Allocat (2)'!BT15/'FY20 Initial Budget Allocat FTE'!BT$121</f>
        <v>0</v>
      </c>
      <c r="BU15" s="115">
        <f>'[8]FY20 Initial Budget Allocat (2)'!BU15/'FY20 Initial Budget Allocat FTE'!BU$121</f>
        <v>0</v>
      </c>
      <c r="BV15" s="115">
        <f>'[8]FY20 Initial Budget Allocat (2)'!BV15/'FY20 Initial Budget Allocat FTE'!BV$121</f>
        <v>0</v>
      </c>
      <c r="BW15" s="80">
        <v>0</v>
      </c>
      <c r="BX15" s="80">
        <v>0</v>
      </c>
      <c r="BY15" s="80">
        <v>0</v>
      </c>
      <c r="BZ15" s="80">
        <v>0</v>
      </c>
      <c r="CA15" s="115">
        <f>'[8]FY20 Initial Budget Allocat (2)'!CA15/'FY20 Initial Budget Allocat FTE'!CA$121</f>
        <v>0</v>
      </c>
      <c r="CB15" s="115">
        <f>'[8]FY20 Initial Budget Allocat (2)'!CB15/'FY20 Initial Budget Allocat FTE'!CB$121</f>
        <v>0</v>
      </c>
      <c r="CC15" s="80">
        <v>0</v>
      </c>
      <c r="CD15" s="115">
        <f>'[8]FY20 Initial Budget Allocat (2)'!CD15/'FY20 Initial Budget Allocat FTE'!CD$121</f>
        <v>0</v>
      </c>
      <c r="CE15" s="115">
        <f>'[8]FY20 Initial Budget Allocat (2)'!CE15/'FY20 Initial Budget Allocat FTE'!CE$121</f>
        <v>0</v>
      </c>
      <c r="CF15" s="115">
        <f>'[8]FY20 Initial Budget Allocat (2)'!CF15/'FY20 Initial Budget Allocat FTE'!CF$121</f>
        <v>0</v>
      </c>
      <c r="CG15" s="115">
        <f>'[8]FY20 Initial Budget Allocat (2)'!CG15/'FY20 Initial Budget Allocat FTE'!CG$121</f>
        <v>0</v>
      </c>
      <c r="CH15" s="115">
        <f>'[8]FY20 Initial Budget Allocat (2)'!CH15/'FY20 Initial Budget Allocat FTE'!CH$121</f>
        <v>0</v>
      </c>
      <c r="CI15" s="115">
        <f>'[8]FY20 Initial Budget Allocat (2)'!CI15/'FY20 Initial Budget Allocat FTE'!CI$121</f>
        <v>2</v>
      </c>
      <c r="CJ15" s="115">
        <f>'[8]FY20 Initial Budget Allocat (2)'!CJ15/'FY20 Initial Budget Allocat FTE'!CJ$121</f>
        <v>0</v>
      </c>
      <c r="CK15" s="79">
        <v>23000</v>
      </c>
      <c r="CL15" s="79">
        <v>5000</v>
      </c>
      <c r="CM15" s="79">
        <v>295048.09999999998</v>
      </c>
      <c r="CN15" s="79">
        <v>100000</v>
      </c>
      <c r="CO15" s="115">
        <f>'[8]FY20 Initial Budget Allocat (2)'!CO15/'FY20 Initial Budget Allocat FTE'!CO$121</f>
        <v>0</v>
      </c>
      <c r="CP15" s="79">
        <v>75000</v>
      </c>
      <c r="CQ15" s="79">
        <v>3518.6991869918702</v>
      </c>
      <c r="CR15" s="79">
        <v>0</v>
      </c>
      <c r="CS15" s="79">
        <v>24796.798090909091</v>
      </c>
      <c r="CT15" s="115">
        <f>'[8]FY20 Initial Budget Allocat (2)'!CT15/'FY20 Initial Budget Allocat FTE'!CT$121</f>
        <v>0</v>
      </c>
      <c r="CU15" s="115">
        <f>'[8]FY20 Initial Budget Allocat (2)'!CU15/'FY20 Initial Budget Allocat FTE'!CU$121</f>
        <v>0</v>
      </c>
      <c r="CV15" s="79"/>
      <c r="CW15" s="79">
        <v>0</v>
      </c>
      <c r="CX15" s="115">
        <f>'[8]FY20 Initial Budget Allocat (2)'!CX15/'FY20 Initial Budget Allocat FTE'!CX$121</f>
        <v>0</v>
      </c>
      <c r="CY15" s="79">
        <v>0</v>
      </c>
      <c r="CZ15" s="79">
        <v>0</v>
      </c>
      <c r="DA15" s="79">
        <v>31100</v>
      </c>
      <c r="DB15" s="79">
        <v>67423.32419934214</v>
      </c>
      <c r="DC15" s="82">
        <v>0</v>
      </c>
      <c r="DD15" s="79">
        <v>200000</v>
      </c>
      <c r="DE15" s="79"/>
      <c r="DF15" s="79">
        <v>47600</v>
      </c>
      <c r="DG15" s="79">
        <v>0</v>
      </c>
      <c r="DH15" s="83">
        <v>0</v>
      </c>
      <c r="DI15" s="79">
        <v>16319.01618404381</v>
      </c>
      <c r="DJ15" s="79">
        <v>5075214.033237624</v>
      </c>
      <c r="DK15" s="84">
        <v>59516.966762376018</v>
      </c>
      <c r="DL15" s="84">
        <v>0</v>
      </c>
      <c r="DM15" s="84">
        <f t="shared" si="0"/>
        <v>5134731</v>
      </c>
      <c r="DN15" s="116">
        <f t="shared" si="1"/>
        <v>0</v>
      </c>
      <c r="DO15" s="116">
        <f t="shared" si="2"/>
        <v>0</v>
      </c>
      <c r="DP15" s="116">
        <f t="shared" si="3"/>
        <v>14.1</v>
      </c>
      <c r="DQ15" s="116">
        <f t="shared" si="4"/>
        <v>10.454545454545455</v>
      </c>
      <c r="DR15" s="116">
        <f t="shared" si="5"/>
        <v>4</v>
      </c>
    </row>
    <row r="16" spans="1:122" x14ac:dyDescent="0.25">
      <c r="A16" s="76">
        <v>404</v>
      </c>
      <c r="B16" s="76" t="s">
        <v>153</v>
      </c>
      <c r="C16" s="77" t="s">
        <v>150</v>
      </c>
      <c r="D16" s="41">
        <v>5</v>
      </c>
      <c r="E16" s="78">
        <v>405</v>
      </c>
      <c r="F16" s="78">
        <v>312.87658227848101</v>
      </c>
      <c r="G16" s="115">
        <f>'[8]FY20 Initial Budget Allocat (2)'!G16/'FY20 Initial Budget Allocat FTE'!G$121</f>
        <v>1</v>
      </c>
      <c r="H16" s="115">
        <f>'[8]FY20 Initial Budget Allocat (2)'!H16/'FY20 Initial Budget Allocat FTE'!H$121</f>
        <v>1</v>
      </c>
      <c r="I16" s="115">
        <f>'[8]FY20 Initial Budget Allocat (2)'!I16/'FY20 Initial Budget Allocat FTE'!I$121</f>
        <v>0.4</v>
      </c>
      <c r="J16" s="115">
        <f>'[8]FY20 Initial Budget Allocat (2)'!J16/'FY20 Initial Budget Allocat FTE'!J$121</f>
        <v>1</v>
      </c>
      <c r="K16" s="115">
        <f>'[8]FY20 Initial Budget Allocat (2)'!K16/'FY20 Initial Budget Allocat FTE'!K$121</f>
        <v>0</v>
      </c>
      <c r="L16" s="115">
        <f>'[8]FY20 Initial Budget Allocat (2)'!L16/'FY20 Initial Budget Allocat FTE'!L$121</f>
        <v>1</v>
      </c>
      <c r="M16" s="115">
        <f>'[8]FY20 Initial Budget Allocat (2)'!M16/'FY20 Initial Budget Allocat FTE'!M$121</f>
        <v>1</v>
      </c>
      <c r="N16" s="115">
        <f>'[8]FY20 Initial Budget Allocat (2)'!N16/'FY20 Initial Budget Allocat FTE'!N$121</f>
        <v>1</v>
      </c>
      <c r="O16" s="115">
        <f>'[8]FY20 Initial Budget Allocat (2)'!O16/'FY20 Initial Budget Allocat FTE'!O$121</f>
        <v>0</v>
      </c>
      <c r="P16" s="115">
        <f>'[8]FY20 Initial Budget Allocat (2)'!P16/'FY20 Initial Budget Allocat FTE'!P$121</f>
        <v>0</v>
      </c>
      <c r="Q16" s="115">
        <f>'[8]FY20 Initial Budget Allocat (2)'!Q16/'FY20 Initial Budget Allocat FTE'!Q$121</f>
        <v>0</v>
      </c>
      <c r="R16" s="115">
        <f>'[8]FY20 Initial Budget Allocat (2)'!R16/'FY20 Initial Budget Allocat FTE'!R$121</f>
        <v>1</v>
      </c>
      <c r="S16" s="115">
        <f>'[8]FY20 Initial Budget Allocat (2)'!S16/'FY20 Initial Budget Allocat FTE'!S$121</f>
        <v>1</v>
      </c>
      <c r="T16" s="115">
        <f>'[8]FY20 Initial Budget Allocat (2)'!T16/'FY20 Initial Budget Allocat FTE'!T$121</f>
        <v>3</v>
      </c>
      <c r="U16" s="115">
        <f>'[8]FY20 Initial Budget Allocat (2)'!U16/'FY20 Initial Budget Allocat FTE'!U$121</f>
        <v>1</v>
      </c>
      <c r="V16" s="115">
        <f>'[8]FY20 Initial Budget Allocat (2)'!V16/'FY20 Initial Budget Allocat FTE'!V$121</f>
        <v>1</v>
      </c>
      <c r="W16" s="115">
        <f>'[8]FY20 Initial Budget Allocat (2)'!W16/'FY20 Initial Budget Allocat FTE'!W$121</f>
        <v>1</v>
      </c>
      <c r="X16" s="115">
        <f>'[8]FY20 Initial Budget Allocat (2)'!X16/'FY20 Initial Budget Allocat FTE'!X$121</f>
        <v>1</v>
      </c>
      <c r="Y16" s="115">
        <f>'[8]FY20 Initial Budget Allocat (2)'!Y16/'FY20 Initial Budget Allocat FTE'!Y$121</f>
        <v>3.2007357575028675E-15</v>
      </c>
      <c r="Z16" s="115">
        <f>'[8]FY20 Initial Budget Allocat (2)'!Z16/'FY20 Initial Budget Allocat FTE'!Z$121</f>
        <v>2</v>
      </c>
      <c r="AA16" s="115">
        <f>'[8]FY20 Initial Budget Allocat (2)'!AA16/'FY20 Initial Budget Allocat FTE'!AA$121</f>
        <v>2</v>
      </c>
      <c r="AB16" s="115">
        <f>'[8]FY20 Initial Budget Allocat (2)'!AB16/'FY20 Initial Budget Allocat FTE'!AB$121</f>
        <v>2</v>
      </c>
      <c r="AC16" s="115">
        <f>'[8]FY20 Initial Budget Allocat (2)'!AC16/'FY20 Initial Budget Allocat FTE'!AC$121</f>
        <v>0</v>
      </c>
      <c r="AD16" s="115">
        <f>'[8]FY20 Initial Budget Allocat (2)'!AD16/'FY20 Initial Budget Allocat FTE'!AD$121</f>
        <v>0</v>
      </c>
      <c r="AE16" s="115">
        <f>'[8]FY20 Initial Budget Allocat (2)'!AE16/'FY20 Initial Budget Allocat FTE'!AE$121</f>
        <v>2</v>
      </c>
      <c r="AF16" s="115">
        <f>'[8]FY20 Initial Budget Allocat (2)'!AF16/'FY20 Initial Budget Allocat FTE'!AF$121</f>
        <v>2</v>
      </c>
      <c r="AG16" s="115">
        <f>'[8]FY20 Initial Budget Allocat (2)'!AG16/'FY20 Initial Budget Allocat FTE'!AG$121</f>
        <v>2</v>
      </c>
      <c r="AH16" s="115">
        <f>'[8]FY20 Initial Budget Allocat (2)'!AH16/'FY20 Initial Budget Allocat FTE'!AH$121</f>
        <v>2</v>
      </c>
      <c r="AI16" s="115">
        <f>'[8]FY20 Initial Budget Allocat (2)'!AI16/'FY20 Initial Budget Allocat FTE'!AI$121</f>
        <v>2</v>
      </c>
      <c r="AJ16" s="115">
        <f>'[8]FY20 Initial Budget Allocat (2)'!AJ16/'FY20 Initial Budget Allocat FTE'!AJ$121</f>
        <v>2</v>
      </c>
      <c r="AK16" s="115">
        <f>'[8]FY20 Initial Budget Allocat (2)'!AK16/'FY20 Initial Budget Allocat FTE'!AK$121</f>
        <v>2</v>
      </c>
      <c r="AL16" s="115">
        <f>'[8]FY20 Initial Budget Allocat (2)'!AL16/'FY20 Initial Budget Allocat FTE'!AL$121</f>
        <v>2</v>
      </c>
      <c r="AM16" s="115">
        <f>'[8]FY20 Initial Budget Allocat (2)'!AM16/'FY20 Initial Budget Allocat FTE'!AM$121</f>
        <v>2</v>
      </c>
      <c r="AN16" s="115">
        <f>'[8]FY20 Initial Budget Allocat (2)'!AN16/'FY20 Initial Budget Allocat FTE'!AN$121</f>
        <v>1.5000000000000002</v>
      </c>
      <c r="AO16" s="115">
        <f>'[8]FY20 Initial Budget Allocat (2)'!AO16/'FY20 Initial Budget Allocat FTE'!AO$121</f>
        <v>1.5000000000000002</v>
      </c>
      <c r="AP16" s="115">
        <f>'[8]FY20 Initial Budget Allocat (2)'!AP16/'FY20 Initial Budget Allocat FTE'!AP$121</f>
        <v>1.9</v>
      </c>
      <c r="AQ16" s="115">
        <f>'[8]FY20 Initial Budget Allocat (2)'!AQ16/'FY20 Initial Budget Allocat FTE'!AQ$121</f>
        <v>0</v>
      </c>
      <c r="AR16" s="115">
        <f>'[8]FY20 Initial Budget Allocat (2)'!AR16/'FY20 Initial Budget Allocat FTE'!AR$121</f>
        <v>0</v>
      </c>
      <c r="AS16" s="115">
        <f>'[8]FY20 Initial Budget Allocat (2)'!AS16/'FY20 Initial Budget Allocat FTE'!AS$121</f>
        <v>0</v>
      </c>
      <c r="AT16" s="115">
        <f>'[8]FY20 Initial Budget Allocat (2)'!AT16/'FY20 Initial Budget Allocat FTE'!AT$121</f>
        <v>0</v>
      </c>
      <c r="AU16" s="115">
        <f>'[8]FY20 Initial Budget Allocat (2)'!AU16/'FY20 Initial Budget Allocat FTE'!AU$121</f>
        <v>0</v>
      </c>
      <c r="AV16" s="115">
        <f>'[8]FY20 Initial Budget Allocat (2)'!AV16/'FY20 Initial Budget Allocat FTE'!AV$121</f>
        <v>0</v>
      </c>
      <c r="AW16" s="115">
        <f>'[8]FY20 Initial Budget Allocat (2)'!AW16/'FY20 Initial Budget Allocat FTE'!AW$121</f>
        <v>0</v>
      </c>
      <c r="AX16" s="115">
        <f>'[8]FY20 Initial Budget Allocat (2)'!AX16/'FY20 Initial Budget Allocat FTE'!AX$121</f>
        <v>1</v>
      </c>
      <c r="AY16" s="115">
        <f>'[8]FY20 Initial Budget Allocat (2)'!AY16/'FY20 Initial Budget Allocat FTE'!AY$121</f>
        <v>2</v>
      </c>
      <c r="AZ16" s="115">
        <f>'[8]FY20 Initial Budget Allocat (2)'!AZ16/'FY20 Initial Budget Allocat FTE'!AZ$121</f>
        <v>6.0000000000000009</v>
      </c>
      <c r="BA16" s="115">
        <f>'[8]FY20 Initial Budget Allocat (2)'!BA16/'FY20 Initial Budget Allocat FTE'!BA$121</f>
        <v>4</v>
      </c>
      <c r="BB16" s="115">
        <f>'[8]FY20 Initial Budget Allocat (2)'!BB16/'FY20 Initial Budget Allocat FTE'!BB$121</f>
        <v>0</v>
      </c>
      <c r="BC16" s="115">
        <f>'[8]FY20 Initial Budget Allocat (2)'!BC16/'FY20 Initial Budget Allocat FTE'!BC$121</f>
        <v>0</v>
      </c>
      <c r="BD16" s="115">
        <f>'[8]FY20 Initial Budget Allocat (2)'!BD16/'FY20 Initial Budget Allocat FTE'!BD$121</f>
        <v>2</v>
      </c>
      <c r="BE16" s="115">
        <f>'[8]FY20 Initial Budget Allocat (2)'!BE16/'FY20 Initial Budget Allocat FTE'!BE$121</f>
        <v>0</v>
      </c>
      <c r="BF16" s="115">
        <f>'[8]FY20 Initial Budget Allocat (2)'!BF16/'FY20 Initial Budget Allocat FTE'!BF$121</f>
        <v>0</v>
      </c>
      <c r="BG16" s="115">
        <f>'[8]FY20 Initial Budget Allocat (2)'!BG16/'FY20 Initial Budget Allocat FTE'!BG$121</f>
        <v>6.2629468760440968E-2</v>
      </c>
      <c r="BH16" s="115">
        <f>'[8]FY20 Initial Budget Allocat (2)'!BH16/'FY20 Initial Budget Allocat FTE'!BH$121</f>
        <v>2</v>
      </c>
      <c r="BI16" s="115">
        <f>'[8]FY20 Initial Budget Allocat (2)'!BI16/'FY20 Initial Budget Allocat FTE'!BI$121</f>
        <v>1</v>
      </c>
      <c r="BJ16" s="79"/>
      <c r="BK16" s="79">
        <v>0</v>
      </c>
      <c r="BL16" s="79">
        <v>11597.1</v>
      </c>
      <c r="BM16" s="79">
        <v>154501.47</v>
      </c>
      <c r="BN16" s="79">
        <v>2458.52</v>
      </c>
      <c r="BO16" s="79">
        <v>0</v>
      </c>
      <c r="BP16" s="115">
        <f>'[8]FY20 Initial Budget Allocat (2)'!BP16/'FY20 Initial Budget Allocat FTE'!BP$121</f>
        <v>0</v>
      </c>
      <c r="BQ16" s="115">
        <f>'[8]FY20 Initial Budget Allocat (2)'!BQ16/'FY20 Initial Budget Allocat FTE'!BQ$121</f>
        <v>0</v>
      </c>
      <c r="BR16" s="115">
        <f>'[8]FY20 Initial Budget Allocat (2)'!BR16/'FY20 Initial Budget Allocat FTE'!BR$121</f>
        <v>0</v>
      </c>
      <c r="BS16" s="115">
        <f>'[8]FY20 Initial Budget Allocat (2)'!BS16/'FY20 Initial Budget Allocat FTE'!BS$121</f>
        <v>0</v>
      </c>
      <c r="BT16" s="115">
        <f>'[8]FY20 Initial Budget Allocat (2)'!BT16/'FY20 Initial Budget Allocat FTE'!BT$121</f>
        <v>1</v>
      </c>
      <c r="BU16" s="115">
        <f>'[8]FY20 Initial Budget Allocat (2)'!BU16/'FY20 Initial Budget Allocat FTE'!BU$121</f>
        <v>0</v>
      </c>
      <c r="BV16" s="115">
        <f>'[8]FY20 Initial Budget Allocat (2)'!BV16/'FY20 Initial Budget Allocat FTE'!BV$121</f>
        <v>0</v>
      </c>
      <c r="BW16" s="80">
        <v>0</v>
      </c>
      <c r="BX16" s="80">
        <v>0</v>
      </c>
      <c r="BY16" s="80">
        <v>0</v>
      </c>
      <c r="BZ16" s="80">
        <v>0</v>
      </c>
      <c r="CA16" s="115">
        <f>'[8]FY20 Initial Budget Allocat (2)'!CA16/'FY20 Initial Budget Allocat FTE'!CA$121</f>
        <v>0</v>
      </c>
      <c r="CB16" s="115">
        <f>'[8]FY20 Initial Budget Allocat (2)'!CB16/'FY20 Initial Budget Allocat FTE'!CB$121</f>
        <v>0</v>
      </c>
      <c r="CC16" s="80">
        <v>0</v>
      </c>
      <c r="CD16" s="115">
        <f>'[8]FY20 Initial Budget Allocat (2)'!CD16/'FY20 Initial Budget Allocat FTE'!CD$121</f>
        <v>0</v>
      </c>
      <c r="CE16" s="115">
        <f>'[8]FY20 Initial Budget Allocat (2)'!CE16/'FY20 Initial Budget Allocat FTE'!CE$121</f>
        <v>0</v>
      </c>
      <c r="CF16" s="115">
        <f>'[8]FY20 Initial Budget Allocat (2)'!CF16/'FY20 Initial Budget Allocat FTE'!CF$121</f>
        <v>0</v>
      </c>
      <c r="CG16" s="115">
        <f>'[8]FY20 Initial Budget Allocat (2)'!CG16/'FY20 Initial Budget Allocat FTE'!CG$121</f>
        <v>0</v>
      </c>
      <c r="CH16" s="115">
        <f>'[8]FY20 Initial Budget Allocat (2)'!CH16/'FY20 Initial Budget Allocat FTE'!CH$121</f>
        <v>0</v>
      </c>
      <c r="CI16" s="115">
        <f>'[8]FY20 Initial Budget Allocat (2)'!CI16/'FY20 Initial Budget Allocat FTE'!CI$121</f>
        <v>2</v>
      </c>
      <c r="CJ16" s="115">
        <f>'[8]FY20 Initial Budget Allocat (2)'!CJ16/'FY20 Initial Budget Allocat FTE'!CJ$121</f>
        <v>0</v>
      </c>
      <c r="CK16" s="79">
        <v>23000</v>
      </c>
      <c r="CL16" s="79">
        <v>5000</v>
      </c>
      <c r="CM16" s="79">
        <v>162248.4</v>
      </c>
      <c r="CN16" s="79">
        <v>100000</v>
      </c>
      <c r="CO16" s="115">
        <f>'[8]FY20 Initial Budget Allocat (2)'!CO16/'FY20 Initial Budget Allocat FTE'!CO$121</f>
        <v>0</v>
      </c>
      <c r="CP16" s="79">
        <v>0</v>
      </c>
      <c r="CQ16" s="79">
        <v>12515.06329113924</v>
      </c>
      <c r="CR16" s="79">
        <v>139320</v>
      </c>
      <c r="CS16" s="79">
        <v>25567.408219178084</v>
      </c>
      <c r="CT16" s="115">
        <f>'[8]FY20 Initial Budget Allocat (2)'!CT16/'FY20 Initial Budget Allocat FTE'!CT$121</f>
        <v>0</v>
      </c>
      <c r="CU16" s="115">
        <f>'[8]FY20 Initial Budget Allocat (2)'!CU16/'FY20 Initial Budget Allocat FTE'!CU$121</f>
        <v>0</v>
      </c>
      <c r="CV16" s="79"/>
      <c r="CW16" s="79">
        <v>0</v>
      </c>
      <c r="CX16" s="115">
        <f>'[8]FY20 Initial Budget Allocat (2)'!CX16/'FY20 Initial Budget Allocat FTE'!CX$121</f>
        <v>0</v>
      </c>
      <c r="CY16" s="79">
        <v>0</v>
      </c>
      <c r="CZ16" s="79">
        <v>0</v>
      </c>
      <c r="DA16" s="79">
        <v>40500</v>
      </c>
      <c r="DB16" s="79">
        <v>94039.832762906371</v>
      </c>
      <c r="DC16" s="82">
        <v>0</v>
      </c>
      <c r="DD16" s="79">
        <v>0</v>
      </c>
      <c r="DE16" s="79"/>
      <c r="DF16" s="79">
        <v>27900</v>
      </c>
      <c r="DG16" s="79">
        <v>0</v>
      </c>
      <c r="DH16" s="83">
        <v>0</v>
      </c>
      <c r="DI16" s="79">
        <v>16117.921905910925</v>
      </c>
      <c r="DJ16" s="79">
        <v>6527758.3718939237</v>
      </c>
      <c r="DK16" s="84">
        <v>-1.8939236178994179E-3</v>
      </c>
      <c r="DL16" s="84">
        <v>0</v>
      </c>
      <c r="DM16" s="84">
        <f t="shared" si="0"/>
        <v>6527758.3700000001</v>
      </c>
      <c r="DN16" s="116">
        <f t="shared" si="1"/>
        <v>6</v>
      </c>
      <c r="DO16" s="116">
        <f t="shared" si="2"/>
        <v>6</v>
      </c>
      <c r="DP16" s="116">
        <f t="shared" si="3"/>
        <v>14.9</v>
      </c>
      <c r="DQ16" s="116">
        <f t="shared" si="4"/>
        <v>11</v>
      </c>
      <c r="DR16" s="116">
        <f t="shared" si="5"/>
        <v>4</v>
      </c>
    </row>
    <row r="17" spans="1:122" x14ac:dyDescent="0.25">
      <c r="A17" s="76">
        <v>296</v>
      </c>
      <c r="B17" s="76" t="s">
        <v>154</v>
      </c>
      <c r="C17" s="77" t="s">
        <v>135</v>
      </c>
      <c r="D17" s="41">
        <v>1</v>
      </c>
      <c r="E17" s="78">
        <v>444</v>
      </c>
      <c r="F17" s="78">
        <v>239.38461538461539</v>
      </c>
      <c r="G17" s="115">
        <f>'[8]FY20 Initial Budget Allocat (2)'!G17/'FY20 Initial Budget Allocat FTE'!G$121</f>
        <v>1</v>
      </c>
      <c r="H17" s="115">
        <f>'[8]FY20 Initial Budget Allocat (2)'!H17/'FY20 Initial Budget Allocat FTE'!H$121</f>
        <v>1</v>
      </c>
      <c r="I17" s="115">
        <f>'[8]FY20 Initial Budget Allocat (2)'!I17/'FY20 Initial Budget Allocat FTE'!I$121</f>
        <v>1.1000000000000001</v>
      </c>
      <c r="J17" s="115">
        <f>'[8]FY20 Initial Budget Allocat (2)'!J17/'FY20 Initial Budget Allocat FTE'!J$121</f>
        <v>0</v>
      </c>
      <c r="K17" s="115">
        <f>'[8]FY20 Initial Budget Allocat (2)'!K17/'FY20 Initial Budget Allocat FTE'!K$121</f>
        <v>0</v>
      </c>
      <c r="L17" s="115">
        <f>'[8]FY20 Initial Budget Allocat (2)'!L17/'FY20 Initial Budget Allocat FTE'!L$121</f>
        <v>1</v>
      </c>
      <c r="M17" s="115">
        <f>'[8]FY20 Initial Budget Allocat (2)'!M17/'FY20 Initial Budget Allocat FTE'!M$121</f>
        <v>1</v>
      </c>
      <c r="N17" s="115">
        <f>'[8]FY20 Initial Budget Allocat (2)'!N17/'FY20 Initial Budget Allocat FTE'!N$121</f>
        <v>1.1000000000000001</v>
      </c>
      <c r="O17" s="115">
        <f>'[8]FY20 Initial Budget Allocat (2)'!O17/'FY20 Initial Budget Allocat FTE'!O$121</f>
        <v>0</v>
      </c>
      <c r="P17" s="115">
        <f>'[8]FY20 Initial Budget Allocat (2)'!P17/'FY20 Initial Budget Allocat FTE'!P$121</f>
        <v>0</v>
      </c>
      <c r="Q17" s="115">
        <f>'[8]FY20 Initial Budget Allocat (2)'!Q17/'FY20 Initial Budget Allocat FTE'!Q$121</f>
        <v>0</v>
      </c>
      <c r="R17" s="115">
        <f>'[8]FY20 Initial Budget Allocat (2)'!R17/'FY20 Initial Budget Allocat FTE'!R$121</f>
        <v>1</v>
      </c>
      <c r="S17" s="115">
        <f>'[8]FY20 Initial Budget Allocat (2)'!S17/'FY20 Initial Budget Allocat FTE'!S$121</f>
        <v>1</v>
      </c>
      <c r="T17" s="115">
        <f>'[8]FY20 Initial Budget Allocat (2)'!T17/'FY20 Initial Budget Allocat FTE'!T$121</f>
        <v>3</v>
      </c>
      <c r="U17" s="115">
        <f>'[8]FY20 Initial Budget Allocat (2)'!U17/'FY20 Initial Budget Allocat FTE'!U$121</f>
        <v>1</v>
      </c>
      <c r="V17" s="115">
        <f>'[8]FY20 Initial Budget Allocat (2)'!V17/'FY20 Initial Budget Allocat FTE'!V$121</f>
        <v>1</v>
      </c>
      <c r="W17" s="115">
        <f>'[8]FY20 Initial Budget Allocat (2)'!W17/'FY20 Initial Budget Allocat FTE'!W$121</f>
        <v>1</v>
      </c>
      <c r="X17" s="115">
        <f>'[8]FY20 Initial Budget Allocat (2)'!X17/'FY20 Initial Budget Allocat FTE'!X$121</f>
        <v>1</v>
      </c>
      <c r="Y17" s="115">
        <f>'[8]FY20 Initial Budget Allocat (2)'!Y17/'FY20 Initial Budget Allocat FTE'!Y$121</f>
        <v>1.5000000000000002</v>
      </c>
      <c r="Z17" s="115">
        <f>'[8]FY20 Initial Budget Allocat (2)'!Z17/'FY20 Initial Budget Allocat FTE'!Z$121</f>
        <v>0</v>
      </c>
      <c r="AA17" s="115">
        <f>'[8]FY20 Initial Budget Allocat (2)'!AA17/'FY20 Initial Budget Allocat FTE'!AA$121</f>
        <v>0</v>
      </c>
      <c r="AB17" s="115">
        <f>'[8]FY20 Initial Budget Allocat (2)'!AB17/'FY20 Initial Budget Allocat FTE'!AB$121</f>
        <v>0</v>
      </c>
      <c r="AC17" s="115">
        <f>'[8]FY20 Initial Budget Allocat (2)'!AC17/'FY20 Initial Budget Allocat FTE'!AC$121</f>
        <v>6.0000000000000009</v>
      </c>
      <c r="AD17" s="115">
        <f>'[8]FY20 Initial Budget Allocat (2)'!AD17/'FY20 Initial Budget Allocat FTE'!AD$121</f>
        <v>6</v>
      </c>
      <c r="AE17" s="115">
        <f>'[8]FY20 Initial Budget Allocat (2)'!AE17/'FY20 Initial Budget Allocat FTE'!AE$121</f>
        <v>0</v>
      </c>
      <c r="AF17" s="115">
        <f>'[8]FY20 Initial Budget Allocat (2)'!AF17/'FY20 Initial Budget Allocat FTE'!AF$121</f>
        <v>0</v>
      </c>
      <c r="AG17" s="115">
        <f>'[8]FY20 Initial Budget Allocat (2)'!AG17/'FY20 Initial Budget Allocat FTE'!AG$121</f>
        <v>3.0000000000000004</v>
      </c>
      <c r="AH17" s="115">
        <f>'[8]FY20 Initial Budget Allocat (2)'!AH17/'FY20 Initial Budget Allocat FTE'!AH$121</f>
        <v>3</v>
      </c>
      <c r="AI17" s="115">
        <f>'[8]FY20 Initial Budget Allocat (2)'!AI17/'FY20 Initial Budget Allocat FTE'!AI$121</f>
        <v>3.0000000000000004</v>
      </c>
      <c r="AJ17" s="115">
        <f>'[8]FY20 Initial Budget Allocat (2)'!AJ17/'FY20 Initial Budget Allocat FTE'!AJ$121</f>
        <v>3.0000000000000004</v>
      </c>
      <c r="AK17" s="115">
        <f>'[8]FY20 Initial Budget Allocat (2)'!AK17/'FY20 Initial Budget Allocat FTE'!AK$121</f>
        <v>3.0000000000000004</v>
      </c>
      <c r="AL17" s="115">
        <f>'[8]FY20 Initial Budget Allocat (2)'!AL17/'FY20 Initial Budget Allocat FTE'!AL$121</f>
        <v>3.0000000000000004</v>
      </c>
      <c r="AM17" s="115">
        <f>'[8]FY20 Initial Budget Allocat (2)'!AM17/'FY20 Initial Budget Allocat FTE'!AM$121</f>
        <v>2</v>
      </c>
      <c r="AN17" s="115">
        <f>'[8]FY20 Initial Budget Allocat (2)'!AN17/'FY20 Initial Budget Allocat FTE'!AN$121</f>
        <v>0</v>
      </c>
      <c r="AO17" s="115">
        <f>'[8]FY20 Initial Budget Allocat (2)'!AO17/'FY20 Initial Budget Allocat FTE'!AO$121</f>
        <v>0</v>
      </c>
      <c r="AP17" s="115">
        <f>'[8]FY20 Initial Budget Allocat (2)'!AP17/'FY20 Initial Budget Allocat FTE'!AP$121</f>
        <v>0</v>
      </c>
      <c r="AQ17" s="115">
        <f>'[8]FY20 Initial Budget Allocat (2)'!AQ17/'FY20 Initial Budget Allocat FTE'!AQ$121</f>
        <v>0</v>
      </c>
      <c r="AR17" s="115">
        <f>'[8]FY20 Initial Budget Allocat (2)'!AR17/'FY20 Initial Budget Allocat FTE'!AR$121</f>
        <v>0</v>
      </c>
      <c r="AS17" s="115">
        <f>'[8]FY20 Initial Budget Allocat (2)'!AS17/'FY20 Initial Budget Allocat FTE'!AS$121</f>
        <v>0</v>
      </c>
      <c r="AT17" s="115">
        <f>'[8]FY20 Initial Budget Allocat (2)'!AT17/'FY20 Initial Budget Allocat FTE'!AT$121</f>
        <v>0</v>
      </c>
      <c r="AU17" s="115">
        <f>'[8]FY20 Initial Budget Allocat (2)'!AU17/'FY20 Initial Budget Allocat FTE'!AU$121</f>
        <v>0</v>
      </c>
      <c r="AV17" s="115">
        <f>'[8]FY20 Initial Budget Allocat (2)'!AV17/'FY20 Initial Budget Allocat FTE'!AV$121</f>
        <v>0</v>
      </c>
      <c r="AW17" s="115">
        <f>'[8]FY20 Initial Budget Allocat (2)'!AW17/'FY20 Initial Budget Allocat FTE'!AW$121</f>
        <v>0</v>
      </c>
      <c r="AX17" s="115">
        <f>'[8]FY20 Initial Budget Allocat (2)'!AX17/'FY20 Initial Budget Allocat FTE'!AX$121</f>
        <v>1</v>
      </c>
      <c r="AY17" s="115">
        <f>'[8]FY20 Initial Budget Allocat (2)'!AY17/'FY20 Initial Budget Allocat FTE'!AY$121</f>
        <v>2</v>
      </c>
      <c r="AZ17" s="115">
        <f>'[8]FY20 Initial Budget Allocat (2)'!AZ17/'FY20 Initial Budget Allocat FTE'!AZ$121</f>
        <v>4</v>
      </c>
      <c r="BA17" s="115">
        <f>'[8]FY20 Initial Budget Allocat (2)'!BA17/'FY20 Initial Budget Allocat FTE'!BA$121</f>
        <v>0</v>
      </c>
      <c r="BB17" s="115">
        <f>'[8]FY20 Initial Budget Allocat (2)'!BB17/'FY20 Initial Budget Allocat FTE'!BB$121</f>
        <v>0</v>
      </c>
      <c r="BC17" s="115">
        <f>'[8]FY20 Initial Budget Allocat (2)'!BC17/'FY20 Initial Budget Allocat FTE'!BC$121</f>
        <v>0</v>
      </c>
      <c r="BD17" s="115">
        <f>'[8]FY20 Initial Budget Allocat (2)'!BD17/'FY20 Initial Budget Allocat FTE'!BD$121</f>
        <v>13</v>
      </c>
      <c r="BE17" s="115">
        <f>'[8]FY20 Initial Budget Allocat (2)'!BE17/'FY20 Initial Budget Allocat FTE'!BE$121</f>
        <v>0</v>
      </c>
      <c r="BF17" s="115">
        <f>'[8]FY20 Initial Budget Allocat (2)'!BF17/'FY20 Initial Budget Allocat FTE'!BF$121</f>
        <v>2</v>
      </c>
      <c r="BG17" s="115">
        <f>'[8]FY20 Initial Budget Allocat (2)'!BG17/'FY20 Initial Budget Allocat FTE'!BG$121</f>
        <v>0</v>
      </c>
      <c r="BH17" s="115">
        <f>'[8]FY20 Initial Budget Allocat (2)'!BH17/'FY20 Initial Budget Allocat FTE'!BH$121</f>
        <v>0</v>
      </c>
      <c r="BI17" s="115">
        <f>'[8]FY20 Initial Budget Allocat (2)'!BI17/'FY20 Initial Budget Allocat FTE'!BI$121</f>
        <v>0</v>
      </c>
      <c r="BJ17" s="79"/>
      <c r="BK17" s="79">
        <v>0</v>
      </c>
      <c r="BL17" s="79"/>
      <c r="BM17" s="79">
        <v>224859.06</v>
      </c>
      <c r="BN17" s="79">
        <v>3578.09</v>
      </c>
      <c r="BO17" s="79">
        <v>0</v>
      </c>
      <c r="BP17" s="115">
        <f>'[8]FY20 Initial Budget Allocat (2)'!BP17/'FY20 Initial Budget Allocat FTE'!BP$121</f>
        <v>0</v>
      </c>
      <c r="BQ17" s="115">
        <f>'[8]FY20 Initial Budget Allocat (2)'!BQ17/'FY20 Initial Budget Allocat FTE'!BQ$121</f>
        <v>0</v>
      </c>
      <c r="BR17" s="115">
        <f>'[8]FY20 Initial Budget Allocat (2)'!BR17/'FY20 Initial Budget Allocat FTE'!BR$121</f>
        <v>0</v>
      </c>
      <c r="BS17" s="115">
        <f>'[8]FY20 Initial Budget Allocat (2)'!BS17/'FY20 Initial Budget Allocat FTE'!BS$121</f>
        <v>0</v>
      </c>
      <c r="BT17" s="115">
        <f>'[8]FY20 Initial Budget Allocat (2)'!BT17/'FY20 Initial Budget Allocat FTE'!BT$121</f>
        <v>0</v>
      </c>
      <c r="BU17" s="115">
        <f>'[8]FY20 Initial Budget Allocat (2)'!BU17/'FY20 Initial Budget Allocat FTE'!BU$121</f>
        <v>0</v>
      </c>
      <c r="BV17" s="115">
        <f>'[8]FY20 Initial Budget Allocat (2)'!BV17/'FY20 Initial Budget Allocat FTE'!BV$121</f>
        <v>0</v>
      </c>
      <c r="BW17" s="80">
        <v>0</v>
      </c>
      <c r="BX17" s="80">
        <v>0</v>
      </c>
      <c r="BY17" s="80">
        <v>0</v>
      </c>
      <c r="BZ17" s="80">
        <v>0</v>
      </c>
      <c r="CA17" s="115">
        <f>'[8]FY20 Initial Budget Allocat (2)'!CA17/'FY20 Initial Budget Allocat FTE'!CA$121</f>
        <v>0</v>
      </c>
      <c r="CB17" s="115">
        <f>'[8]FY20 Initial Budget Allocat (2)'!CB17/'FY20 Initial Budget Allocat FTE'!CB$121</f>
        <v>0</v>
      </c>
      <c r="CC17" s="80">
        <v>0</v>
      </c>
      <c r="CD17" s="115">
        <f>'[8]FY20 Initial Budget Allocat (2)'!CD17/'FY20 Initial Budget Allocat FTE'!CD$121</f>
        <v>0</v>
      </c>
      <c r="CE17" s="115">
        <f>'[8]FY20 Initial Budget Allocat (2)'!CE17/'FY20 Initial Budget Allocat FTE'!CE$121</f>
        <v>0</v>
      </c>
      <c r="CF17" s="115">
        <f>'[8]FY20 Initial Budget Allocat (2)'!CF17/'FY20 Initial Budget Allocat FTE'!CF$121</f>
        <v>0</v>
      </c>
      <c r="CG17" s="115">
        <f>'[8]FY20 Initial Budget Allocat (2)'!CG17/'FY20 Initial Budget Allocat FTE'!CG$121</f>
        <v>0</v>
      </c>
      <c r="CH17" s="115">
        <f>'[8]FY20 Initial Budget Allocat (2)'!CH17/'FY20 Initial Budget Allocat FTE'!CH$121</f>
        <v>0</v>
      </c>
      <c r="CI17" s="115">
        <f>'[8]FY20 Initial Budget Allocat (2)'!CI17/'FY20 Initial Budget Allocat FTE'!CI$121</f>
        <v>0</v>
      </c>
      <c r="CJ17" s="115">
        <f>'[8]FY20 Initial Budget Allocat (2)'!CJ17/'FY20 Initial Budget Allocat FTE'!CJ$121</f>
        <v>0</v>
      </c>
      <c r="CK17" s="79">
        <v>0</v>
      </c>
      <c r="CL17" s="79">
        <v>0</v>
      </c>
      <c r="CM17" s="79">
        <v>54082.8</v>
      </c>
      <c r="CN17" s="79">
        <v>0</v>
      </c>
      <c r="CO17" s="115">
        <f>'[8]FY20 Initial Budget Allocat (2)'!CO17/'FY20 Initial Budget Allocat FTE'!CO$121</f>
        <v>0</v>
      </c>
      <c r="CP17" s="79">
        <v>0</v>
      </c>
      <c r="CQ17" s="79">
        <v>4787.6923076923076</v>
      </c>
      <c r="CR17" s="79">
        <v>50400</v>
      </c>
      <c r="CS17" s="79">
        <v>24891.852216748768</v>
      </c>
      <c r="CT17" s="115">
        <f>'[8]FY20 Initial Budget Allocat (2)'!CT17/'FY20 Initial Budget Allocat FTE'!CT$121</f>
        <v>0</v>
      </c>
      <c r="CU17" s="115">
        <f>'[8]FY20 Initial Budget Allocat (2)'!CU17/'FY20 Initial Budget Allocat FTE'!CU$121</f>
        <v>0</v>
      </c>
      <c r="CV17" s="79"/>
      <c r="CW17" s="79">
        <v>0</v>
      </c>
      <c r="CX17" s="115">
        <f>'[8]FY20 Initial Budget Allocat (2)'!CX17/'FY20 Initial Budget Allocat FTE'!CX$121</f>
        <v>0</v>
      </c>
      <c r="CY17" s="79">
        <v>0</v>
      </c>
      <c r="CZ17" s="79">
        <v>0</v>
      </c>
      <c r="DA17" s="79">
        <v>44400</v>
      </c>
      <c r="DB17" s="79">
        <v>108963.15801390892</v>
      </c>
      <c r="DC17" s="82">
        <v>0</v>
      </c>
      <c r="DD17" s="79">
        <v>0</v>
      </c>
      <c r="DE17" s="79"/>
      <c r="DF17" s="79">
        <v>14500</v>
      </c>
      <c r="DG17" s="79">
        <v>0</v>
      </c>
      <c r="DH17" s="83">
        <v>0</v>
      </c>
      <c r="DI17" s="79">
        <v>16324.235733839232</v>
      </c>
      <c r="DJ17" s="79">
        <v>7247960.6658246173</v>
      </c>
      <c r="DK17" s="84">
        <v>4.1753826662898064E-3</v>
      </c>
      <c r="DL17" s="84">
        <v>0</v>
      </c>
      <c r="DM17" s="84">
        <f t="shared" si="0"/>
        <v>7247960.6699999999</v>
      </c>
      <c r="DN17" s="116">
        <f t="shared" si="1"/>
        <v>9.0000000000000018</v>
      </c>
      <c r="DO17" s="116">
        <f t="shared" si="2"/>
        <v>9</v>
      </c>
      <c r="DP17" s="116">
        <f t="shared" si="3"/>
        <v>14.000000000000002</v>
      </c>
      <c r="DQ17" s="116">
        <f t="shared" si="4"/>
        <v>22</v>
      </c>
      <c r="DR17" s="116">
        <f t="shared" si="5"/>
        <v>0</v>
      </c>
    </row>
    <row r="18" spans="1:122" x14ac:dyDescent="0.25">
      <c r="A18" s="76">
        <v>219</v>
      </c>
      <c r="B18" s="76" t="s">
        <v>155</v>
      </c>
      <c r="C18" s="77" t="s">
        <v>135</v>
      </c>
      <c r="D18" s="41">
        <v>5</v>
      </c>
      <c r="E18" s="78">
        <v>256</v>
      </c>
      <c r="F18" s="78">
        <v>137.7889447236181</v>
      </c>
      <c r="G18" s="115">
        <f>'[8]FY20 Initial Budget Allocat (2)'!G18/'FY20 Initial Budget Allocat FTE'!G$121</f>
        <v>1</v>
      </c>
      <c r="H18" s="115">
        <f>'[8]FY20 Initial Budget Allocat (2)'!H18/'FY20 Initial Budget Allocat FTE'!H$121</f>
        <v>1</v>
      </c>
      <c r="I18" s="115">
        <f>'[8]FY20 Initial Budget Allocat (2)'!I18/'FY20 Initial Budget Allocat FTE'!I$121</f>
        <v>0</v>
      </c>
      <c r="J18" s="115">
        <f>'[8]FY20 Initial Budget Allocat (2)'!J18/'FY20 Initial Budget Allocat FTE'!J$121</f>
        <v>0</v>
      </c>
      <c r="K18" s="115">
        <f>'[8]FY20 Initial Budget Allocat (2)'!K18/'FY20 Initial Budget Allocat FTE'!K$121</f>
        <v>0</v>
      </c>
      <c r="L18" s="115">
        <f>'[8]FY20 Initial Budget Allocat (2)'!L18/'FY20 Initial Budget Allocat FTE'!L$121</f>
        <v>0.5</v>
      </c>
      <c r="M18" s="115">
        <f>'[8]FY20 Initial Budget Allocat (2)'!M18/'FY20 Initial Budget Allocat FTE'!M$121</f>
        <v>1</v>
      </c>
      <c r="N18" s="115">
        <f>'[8]FY20 Initial Budget Allocat (2)'!N18/'FY20 Initial Budget Allocat FTE'!N$121</f>
        <v>0</v>
      </c>
      <c r="O18" s="115">
        <f>'[8]FY20 Initial Budget Allocat (2)'!O18/'FY20 Initial Budget Allocat FTE'!O$121</f>
        <v>0</v>
      </c>
      <c r="P18" s="115">
        <f>'[8]FY20 Initial Budget Allocat (2)'!P18/'FY20 Initial Budget Allocat FTE'!P$121</f>
        <v>0</v>
      </c>
      <c r="Q18" s="115">
        <f>'[8]FY20 Initial Budget Allocat (2)'!Q18/'FY20 Initial Budget Allocat FTE'!Q$121</f>
        <v>0</v>
      </c>
      <c r="R18" s="115">
        <f>'[8]FY20 Initial Budget Allocat (2)'!R18/'FY20 Initial Budget Allocat FTE'!R$121</f>
        <v>1</v>
      </c>
      <c r="S18" s="115">
        <f>'[8]FY20 Initial Budget Allocat (2)'!S18/'FY20 Initial Budget Allocat FTE'!S$121</f>
        <v>1</v>
      </c>
      <c r="T18" s="115">
        <f>'[8]FY20 Initial Budget Allocat (2)'!T18/'FY20 Initial Budget Allocat FTE'!T$121</f>
        <v>1</v>
      </c>
      <c r="U18" s="115">
        <f>'[8]FY20 Initial Budget Allocat (2)'!U18/'FY20 Initial Budget Allocat FTE'!U$121</f>
        <v>0.5</v>
      </c>
      <c r="V18" s="115">
        <f>'[8]FY20 Initial Budget Allocat (2)'!V18/'FY20 Initial Budget Allocat FTE'!V$121</f>
        <v>1</v>
      </c>
      <c r="W18" s="115">
        <f>'[8]FY20 Initial Budget Allocat (2)'!W18/'FY20 Initial Budget Allocat FTE'!W$121</f>
        <v>1</v>
      </c>
      <c r="X18" s="115">
        <f>'[8]FY20 Initial Budget Allocat (2)'!X18/'FY20 Initial Budget Allocat FTE'!X$121</f>
        <v>1</v>
      </c>
      <c r="Y18" s="115">
        <f>'[8]FY20 Initial Budget Allocat (2)'!Y18/'FY20 Initial Budget Allocat FTE'!Y$121</f>
        <v>0</v>
      </c>
      <c r="Z18" s="115">
        <f>'[8]FY20 Initial Budget Allocat (2)'!Z18/'FY20 Initial Budget Allocat FTE'!Z$121</f>
        <v>0</v>
      </c>
      <c r="AA18" s="115">
        <f>'[8]FY20 Initial Budget Allocat (2)'!AA18/'FY20 Initial Budget Allocat FTE'!AA$121</f>
        <v>2</v>
      </c>
      <c r="AB18" s="115">
        <f>'[8]FY20 Initial Budget Allocat (2)'!AB18/'FY20 Initial Budget Allocat FTE'!AB$121</f>
        <v>2</v>
      </c>
      <c r="AC18" s="115">
        <f>'[8]FY20 Initial Budget Allocat (2)'!AC18/'FY20 Initial Budget Allocat FTE'!AC$121</f>
        <v>1</v>
      </c>
      <c r="AD18" s="115">
        <f>'[8]FY20 Initial Budget Allocat (2)'!AD18/'FY20 Initial Budget Allocat FTE'!AD$121</f>
        <v>1</v>
      </c>
      <c r="AE18" s="115">
        <f>'[8]FY20 Initial Budget Allocat (2)'!AE18/'FY20 Initial Budget Allocat FTE'!AE$121</f>
        <v>2</v>
      </c>
      <c r="AF18" s="115">
        <f>'[8]FY20 Initial Budget Allocat (2)'!AF18/'FY20 Initial Budget Allocat FTE'!AF$121</f>
        <v>2</v>
      </c>
      <c r="AG18" s="115">
        <f>'[8]FY20 Initial Budget Allocat (2)'!AG18/'FY20 Initial Budget Allocat FTE'!AG$121</f>
        <v>2</v>
      </c>
      <c r="AH18" s="115">
        <f>'[8]FY20 Initial Budget Allocat (2)'!AH18/'FY20 Initial Budget Allocat FTE'!AH$121</f>
        <v>2</v>
      </c>
      <c r="AI18" s="115">
        <f>'[8]FY20 Initial Budget Allocat (2)'!AI18/'FY20 Initial Budget Allocat FTE'!AI$121</f>
        <v>2</v>
      </c>
      <c r="AJ18" s="115">
        <f>'[8]FY20 Initial Budget Allocat (2)'!AJ18/'FY20 Initial Budget Allocat FTE'!AJ$121</f>
        <v>1</v>
      </c>
      <c r="AK18" s="115">
        <f>'[8]FY20 Initial Budget Allocat (2)'!AK18/'FY20 Initial Budget Allocat FTE'!AK$121</f>
        <v>1</v>
      </c>
      <c r="AL18" s="115">
        <f>'[8]FY20 Initial Budget Allocat (2)'!AL18/'FY20 Initial Budget Allocat FTE'!AL$121</f>
        <v>1</v>
      </c>
      <c r="AM18" s="115">
        <f>'[8]FY20 Initial Budget Allocat (2)'!AM18/'FY20 Initial Budget Allocat FTE'!AM$121</f>
        <v>2</v>
      </c>
      <c r="AN18" s="115">
        <f>'[8]FY20 Initial Budget Allocat (2)'!AN18/'FY20 Initial Budget Allocat FTE'!AN$121</f>
        <v>0</v>
      </c>
      <c r="AO18" s="115">
        <f>'[8]FY20 Initial Budget Allocat (2)'!AO18/'FY20 Initial Budget Allocat FTE'!AO$121</f>
        <v>0</v>
      </c>
      <c r="AP18" s="115">
        <f>'[8]FY20 Initial Budget Allocat (2)'!AP18/'FY20 Initial Budget Allocat FTE'!AP$121</f>
        <v>0</v>
      </c>
      <c r="AQ18" s="115">
        <f>'[8]FY20 Initial Budget Allocat (2)'!AQ18/'FY20 Initial Budget Allocat FTE'!AQ$121</f>
        <v>0</v>
      </c>
      <c r="AR18" s="115">
        <f>'[8]FY20 Initial Budget Allocat (2)'!AR18/'FY20 Initial Budget Allocat FTE'!AR$121</f>
        <v>0</v>
      </c>
      <c r="AS18" s="115">
        <f>'[8]FY20 Initial Budget Allocat (2)'!AS18/'FY20 Initial Budget Allocat FTE'!AS$121</f>
        <v>0</v>
      </c>
      <c r="AT18" s="115">
        <f>'[8]FY20 Initial Budget Allocat (2)'!AT18/'FY20 Initial Budget Allocat FTE'!AT$121</f>
        <v>0</v>
      </c>
      <c r="AU18" s="115">
        <f>'[8]FY20 Initial Budget Allocat (2)'!AU18/'FY20 Initial Budget Allocat FTE'!AU$121</f>
        <v>0</v>
      </c>
      <c r="AV18" s="115">
        <f>'[8]FY20 Initial Budget Allocat (2)'!AV18/'FY20 Initial Budget Allocat FTE'!AV$121</f>
        <v>0</v>
      </c>
      <c r="AW18" s="115">
        <f>'[8]FY20 Initial Budget Allocat (2)'!AW18/'FY20 Initial Budget Allocat FTE'!AW$121</f>
        <v>0</v>
      </c>
      <c r="AX18" s="115">
        <f>'[8]FY20 Initial Budget Allocat (2)'!AX18/'FY20 Initial Budget Allocat FTE'!AX$121</f>
        <v>0.5</v>
      </c>
      <c r="AY18" s="115">
        <f>'[8]FY20 Initial Budget Allocat (2)'!AY18/'FY20 Initial Budget Allocat FTE'!AY$121</f>
        <v>1</v>
      </c>
      <c r="AZ18" s="115">
        <f>'[8]FY20 Initial Budget Allocat (2)'!AZ18/'FY20 Initial Budget Allocat FTE'!AZ$121</f>
        <v>5</v>
      </c>
      <c r="BA18" s="115">
        <f>'[8]FY20 Initial Budget Allocat (2)'!BA18/'FY20 Initial Budget Allocat FTE'!BA$121</f>
        <v>4</v>
      </c>
      <c r="BB18" s="115">
        <f>'[8]FY20 Initial Budget Allocat (2)'!BB18/'FY20 Initial Budget Allocat FTE'!BB$121</f>
        <v>0</v>
      </c>
      <c r="BC18" s="115">
        <f>'[8]FY20 Initial Budget Allocat (2)'!BC18/'FY20 Initial Budget Allocat FTE'!BC$121</f>
        <v>0</v>
      </c>
      <c r="BD18" s="115">
        <f>'[8]FY20 Initial Budget Allocat (2)'!BD18/'FY20 Initial Budget Allocat FTE'!BD$121</f>
        <v>1</v>
      </c>
      <c r="BE18" s="115">
        <f>'[8]FY20 Initial Budget Allocat (2)'!BE18/'FY20 Initial Budget Allocat FTE'!BE$121</f>
        <v>0</v>
      </c>
      <c r="BF18" s="115">
        <f>'[8]FY20 Initial Budget Allocat (2)'!BF18/'FY20 Initial Budget Allocat FTE'!BF$121</f>
        <v>0</v>
      </c>
      <c r="BG18" s="115">
        <f>'[8]FY20 Initial Budget Allocat (2)'!BG18/'FY20 Initial Budget Allocat FTE'!BG$121</f>
        <v>1.062629468760441</v>
      </c>
      <c r="BH18" s="115">
        <f>'[8]FY20 Initial Budget Allocat (2)'!BH18/'FY20 Initial Budget Allocat FTE'!BH$121</f>
        <v>3</v>
      </c>
      <c r="BI18" s="115">
        <f>'[8]FY20 Initial Budget Allocat (2)'!BI18/'FY20 Initial Budget Allocat FTE'!BI$121</f>
        <v>1</v>
      </c>
      <c r="BJ18" s="79"/>
      <c r="BK18" s="79">
        <v>0</v>
      </c>
      <c r="BL18" s="79">
        <v>11597.1</v>
      </c>
      <c r="BM18" s="79">
        <v>95077.83</v>
      </c>
      <c r="BN18" s="79">
        <v>1512.93</v>
      </c>
      <c r="BO18" s="79">
        <v>0</v>
      </c>
      <c r="BP18" s="115">
        <f>'[8]FY20 Initial Budget Allocat (2)'!BP18/'FY20 Initial Budget Allocat FTE'!BP$121</f>
        <v>0</v>
      </c>
      <c r="BQ18" s="115">
        <f>'[8]FY20 Initial Budget Allocat (2)'!BQ18/'FY20 Initial Budget Allocat FTE'!BQ$121</f>
        <v>0</v>
      </c>
      <c r="BR18" s="115">
        <f>'[8]FY20 Initial Budget Allocat (2)'!BR18/'FY20 Initial Budget Allocat FTE'!BR$121</f>
        <v>0</v>
      </c>
      <c r="BS18" s="115">
        <f>'[8]FY20 Initial Budget Allocat (2)'!BS18/'FY20 Initial Budget Allocat FTE'!BS$121</f>
        <v>0</v>
      </c>
      <c r="BT18" s="115">
        <f>'[8]FY20 Initial Budget Allocat (2)'!BT18/'FY20 Initial Budget Allocat FTE'!BT$121</f>
        <v>0</v>
      </c>
      <c r="BU18" s="115">
        <f>'[8]FY20 Initial Budget Allocat (2)'!BU18/'FY20 Initial Budget Allocat FTE'!BU$121</f>
        <v>0</v>
      </c>
      <c r="BV18" s="115">
        <f>'[8]FY20 Initial Budget Allocat (2)'!BV18/'FY20 Initial Budget Allocat FTE'!BV$121</f>
        <v>0</v>
      </c>
      <c r="BW18" s="80">
        <v>0</v>
      </c>
      <c r="BX18" s="80">
        <v>0</v>
      </c>
      <c r="BY18" s="80">
        <v>0</v>
      </c>
      <c r="BZ18" s="80">
        <v>0</v>
      </c>
      <c r="CA18" s="115">
        <f>'[8]FY20 Initial Budget Allocat (2)'!CA18/'FY20 Initial Budget Allocat FTE'!CA$121</f>
        <v>0</v>
      </c>
      <c r="CB18" s="115">
        <f>'[8]FY20 Initial Budget Allocat (2)'!CB18/'FY20 Initial Budget Allocat FTE'!CB$121</f>
        <v>0</v>
      </c>
      <c r="CC18" s="80">
        <v>0</v>
      </c>
      <c r="CD18" s="115">
        <f>'[8]FY20 Initial Budget Allocat (2)'!CD18/'FY20 Initial Budget Allocat FTE'!CD$121</f>
        <v>0</v>
      </c>
      <c r="CE18" s="115">
        <f>'[8]FY20 Initial Budget Allocat (2)'!CE18/'FY20 Initial Budget Allocat FTE'!CE$121</f>
        <v>0</v>
      </c>
      <c r="CF18" s="115">
        <f>'[8]FY20 Initial Budget Allocat (2)'!CF18/'FY20 Initial Budget Allocat FTE'!CF$121</f>
        <v>0</v>
      </c>
      <c r="CG18" s="115">
        <f>'[8]FY20 Initial Budget Allocat (2)'!CG18/'FY20 Initial Budget Allocat FTE'!CG$121</f>
        <v>0</v>
      </c>
      <c r="CH18" s="115">
        <f>'[8]FY20 Initial Budget Allocat (2)'!CH18/'FY20 Initial Budget Allocat FTE'!CH$121</f>
        <v>0</v>
      </c>
      <c r="CI18" s="115">
        <f>'[8]FY20 Initial Budget Allocat (2)'!CI18/'FY20 Initial Budget Allocat FTE'!CI$121</f>
        <v>0</v>
      </c>
      <c r="CJ18" s="115">
        <f>'[8]FY20 Initial Budget Allocat (2)'!CJ18/'FY20 Initial Budget Allocat FTE'!CJ$121</f>
        <v>0</v>
      </c>
      <c r="CK18" s="79">
        <v>0</v>
      </c>
      <c r="CL18" s="79">
        <v>0</v>
      </c>
      <c r="CM18" s="79">
        <v>54082.8</v>
      </c>
      <c r="CN18" s="79">
        <v>0</v>
      </c>
      <c r="CO18" s="115">
        <f>'[8]FY20 Initial Budget Allocat (2)'!CO18/'FY20 Initial Budget Allocat FTE'!CO$121</f>
        <v>0</v>
      </c>
      <c r="CP18" s="79">
        <v>0</v>
      </c>
      <c r="CQ18" s="79">
        <v>2755.778894472362</v>
      </c>
      <c r="CR18" s="79">
        <v>0</v>
      </c>
      <c r="CS18" s="79">
        <v>14930.666666666668</v>
      </c>
      <c r="CT18" s="115">
        <f>'[8]FY20 Initial Budget Allocat (2)'!CT18/'FY20 Initial Budget Allocat FTE'!CT$121</f>
        <v>0</v>
      </c>
      <c r="CU18" s="115">
        <f>'[8]FY20 Initial Budget Allocat (2)'!CU18/'FY20 Initial Budget Allocat FTE'!CU$121</f>
        <v>0</v>
      </c>
      <c r="CV18" s="79"/>
      <c r="CW18" s="79">
        <v>0</v>
      </c>
      <c r="CX18" s="115">
        <f>'[8]FY20 Initial Budget Allocat (2)'!CX18/'FY20 Initial Budget Allocat FTE'!CX$121</f>
        <v>0</v>
      </c>
      <c r="CY18" s="79">
        <v>0</v>
      </c>
      <c r="CZ18" s="79">
        <v>0</v>
      </c>
      <c r="DA18" s="79">
        <v>25600</v>
      </c>
      <c r="DB18" s="79">
        <v>58952.556760679108</v>
      </c>
      <c r="DC18" s="82">
        <v>0</v>
      </c>
      <c r="DD18" s="79">
        <v>0</v>
      </c>
      <c r="DE18" s="79"/>
      <c r="DF18" s="79">
        <v>9750</v>
      </c>
      <c r="DG18" s="79">
        <v>0</v>
      </c>
      <c r="DH18" s="83">
        <v>0</v>
      </c>
      <c r="DI18" s="79">
        <v>15491.562697510768</v>
      </c>
      <c r="DJ18" s="79">
        <v>3965840.0505627566</v>
      </c>
      <c r="DK18" s="84">
        <v>-5.6275678798556328E-4</v>
      </c>
      <c r="DL18" s="84">
        <v>0</v>
      </c>
      <c r="DM18" s="84">
        <f t="shared" si="0"/>
        <v>3965840.05</v>
      </c>
      <c r="DN18" s="116">
        <f t="shared" si="1"/>
        <v>7</v>
      </c>
      <c r="DO18" s="116">
        <f t="shared" si="2"/>
        <v>7</v>
      </c>
      <c r="DP18" s="116">
        <f t="shared" si="3"/>
        <v>7</v>
      </c>
      <c r="DQ18" s="116">
        <f t="shared" si="4"/>
        <v>7.5</v>
      </c>
      <c r="DR18" s="116">
        <f t="shared" si="5"/>
        <v>4</v>
      </c>
    </row>
    <row r="19" spans="1:122" x14ac:dyDescent="0.25">
      <c r="A19" s="76">
        <v>220</v>
      </c>
      <c r="B19" s="76" t="s">
        <v>156</v>
      </c>
      <c r="C19" s="77" t="s">
        <v>135</v>
      </c>
      <c r="D19" s="41">
        <v>5</v>
      </c>
      <c r="E19" s="78">
        <v>271</v>
      </c>
      <c r="F19" s="78">
        <v>139.93015873015872</v>
      </c>
      <c r="G19" s="115">
        <f>'[8]FY20 Initial Budget Allocat (2)'!G19/'FY20 Initial Budget Allocat FTE'!G$121</f>
        <v>1</v>
      </c>
      <c r="H19" s="115">
        <f>'[8]FY20 Initial Budget Allocat (2)'!H19/'FY20 Initial Budget Allocat FTE'!H$121</f>
        <v>1</v>
      </c>
      <c r="I19" s="115">
        <f>'[8]FY20 Initial Budget Allocat (2)'!I19/'FY20 Initial Budget Allocat FTE'!I$121</f>
        <v>0</v>
      </c>
      <c r="J19" s="115">
        <f>'[8]FY20 Initial Budget Allocat (2)'!J19/'FY20 Initial Budget Allocat FTE'!J$121</f>
        <v>0</v>
      </c>
      <c r="K19" s="115">
        <f>'[8]FY20 Initial Budget Allocat (2)'!K19/'FY20 Initial Budget Allocat FTE'!K$121</f>
        <v>0</v>
      </c>
      <c r="L19" s="115">
        <f>'[8]FY20 Initial Budget Allocat (2)'!L19/'FY20 Initial Budget Allocat FTE'!L$121</f>
        <v>0.5</v>
      </c>
      <c r="M19" s="115">
        <f>'[8]FY20 Initial Budget Allocat (2)'!M19/'FY20 Initial Budget Allocat FTE'!M$121</f>
        <v>1</v>
      </c>
      <c r="N19" s="115">
        <f>'[8]FY20 Initial Budget Allocat (2)'!N19/'FY20 Initial Budget Allocat FTE'!N$121</f>
        <v>0</v>
      </c>
      <c r="O19" s="115">
        <f>'[8]FY20 Initial Budget Allocat (2)'!O19/'FY20 Initial Budget Allocat FTE'!O$121</f>
        <v>0</v>
      </c>
      <c r="P19" s="115">
        <f>'[8]FY20 Initial Budget Allocat (2)'!P19/'FY20 Initial Budget Allocat FTE'!P$121</f>
        <v>0</v>
      </c>
      <c r="Q19" s="115">
        <f>'[8]FY20 Initial Budget Allocat (2)'!Q19/'FY20 Initial Budget Allocat FTE'!Q$121</f>
        <v>0</v>
      </c>
      <c r="R19" s="115">
        <f>'[8]FY20 Initial Budget Allocat (2)'!R19/'FY20 Initial Budget Allocat FTE'!R$121</f>
        <v>1</v>
      </c>
      <c r="S19" s="115">
        <f>'[8]FY20 Initial Budget Allocat (2)'!S19/'FY20 Initial Budget Allocat FTE'!S$121</f>
        <v>1</v>
      </c>
      <c r="T19" s="115">
        <f>'[8]FY20 Initial Budget Allocat (2)'!T19/'FY20 Initial Budget Allocat FTE'!T$121</f>
        <v>1</v>
      </c>
      <c r="U19" s="115">
        <f>'[8]FY20 Initial Budget Allocat (2)'!U19/'FY20 Initial Budget Allocat FTE'!U$121</f>
        <v>0.5</v>
      </c>
      <c r="V19" s="115">
        <f>'[8]FY20 Initial Budget Allocat (2)'!V19/'FY20 Initial Budget Allocat FTE'!V$121</f>
        <v>1</v>
      </c>
      <c r="W19" s="115">
        <f>'[8]FY20 Initial Budget Allocat (2)'!W19/'FY20 Initial Budget Allocat FTE'!W$121</f>
        <v>1</v>
      </c>
      <c r="X19" s="115">
        <f>'[8]FY20 Initial Budget Allocat (2)'!X19/'FY20 Initial Budget Allocat FTE'!X$121</f>
        <v>1</v>
      </c>
      <c r="Y19" s="115">
        <f>'[8]FY20 Initial Budget Allocat (2)'!Y19/'FY20 Initial Budget Allocat FTE'!Y$121</f>
        <v>0</v>
      </c>
      <c r="Z19" s="115">
        <f>'[8]FY20 Initial Budget Allocat (2)'!Z19/'FY20 Initial Budget Allocat FTE'!Z$121</f>
        <v>0</v>
      </c>
      <c r="AA19" s="115">
        <f>'[8]FY20 Initial Budget Allocat (2)'!AA19/'FY20 Initial Budget Allocat FTE'!AA$121</f>
        <v>2</v>
      </c>
      <c r="AB19" s="115">
        <f>'[8]FY20 Initial Budget Allocat (2)'!AB19/'FY20 Initial Budget Allocat FTE'!AB$121</f>
        <v>2</v>
      </c>
      <c r="AC19" s="115">
        <f>'[8]FY20 Initial Budget Allocat (2)'!AC19/'FY20 Initial Budget Allocat FTE'!AC$121</f>
        <v>1</v>
      </c>
      <c r="AD19" s="115">
        <f>'[8]FY20 Initial Budget Allocat (2)'!AD19/'FY20 Initial Budget Allocat FTE'!AD$121</f>
        <v>2</v>
      </c>
      <c r="AE19" s="115">
        <f>'[8]FY20 Initial Budget Allocat (2)'!AE19/'FY20 Initial Budget Allocat FTE'!AE$121</f>
        <v>2</v>
      </c>
      <c r="AF19" s="115">
        <f>'[8]FY20 Initial Budget Allocat (2)'!AF19/'FY20 Initial Budget Allocat FTE'!AF$121</f>
        <v>2</v>
      </c>
      <c r="AG19" s="115">
        <f>'[8]FY20 Initial Budget Allocat (2)'!AG19/'FY20 Initial Budget Allocat FTE'!AG$121</f>
        <v>2</v>
      </c>
      <c r="AH19" s="115">
        <f>'[8]FY20 Initial Budget Allocat (2)'!AH19/'FY20 Initial Budget Allocat FTE'!AH$121</f>
        <v>2</v>
      </c>
      <c r="AI19" s="115">
        <f>'[8]FY20 Initial Budget Allocat (2)'!AI19/'FY20 Initial Budget Allocat FTE'!AI$121</f>
        <v>2</v>
      </c>
      <c r="AJ19" s="115">
        <f>'[8]FY20 Initial Budget Allocat (2)'!AJ19/'FY20 Initial Budget Allocat FTE'!AJ$121</f>
        <v>1</v>
      </c>
      <c r="AK19" s="115">
        <f>'[8]FY20 Initial Budget Allocat (2)'!AK19/'FY20 Initial Budget Allocat FTE'!AK$121</f>
        <v>2</v>
      </c>
      <c r="AL19" s="115">
        <f>'[8]FY20 Initial Budget Allocat (2)'!AL19/'FY20 Initial Budget Allocat FTE'!AL$121</f>
        <v>1</v>
      </c>
      <c r="AM19" s="115">
        <f>'[8]FY20 Initial Budget Allocat (2)'!AM19/'FY20 Initial Budget Allocat FTE'!AM$121</f>
        <v>2</v>
      </c>
      <c r="AN19" s="115">
        <f>'[8]FY20 Initial Budget Allocat (2)'!AN19/'FY20 Initial Budget Allocat FTE'!AN$121</f>
        <v>0</v>
      </c>
      <c r="AO19" s="115">
        <f>'[8]FY20 Initial Budget Allocat (2)'!AO19/'FY20 Initial Budget Allocat FTE'!AO$121</f>
        <v>0</v>
      </c>
      <c r="AP19" s="115">
        <f>'[8]FY20 Initial Budget Allocat (2)'!AP19/'FY20 Initial Budget Allocat FTE'!AP$121</f>
        <v>0</v>
      </c>
      <c r="AQ19" s="115">
        <f>'[8]FY20 Initial Budget Allocat (2)'!AQ19/'FY20 Initial Budget Allocat FTE'!AQ$121</f>
        <v>0</v>
      </c>
      <c r="AR19" s="115">
        <f>'[8]FY20 Initial Budget Allocat (2)'!AR19/'FY20 Initial Budget Allocat FTE'!AR$121</f>
        <v>0</v>
      </c>
      <c r="AS19" s="115">
        <f>'[8]FY20 Initial Budget Allocat (2)'!AS19/'FY20 Initial Budget Allocat FTE'!AS$121</f>
        <v>0</v>
      </c>
      <c r="AT19" s="115">
        <f>'[8]FY20 Initial Budget Allocat (2)'!AT19/'FY20 Initial Budget Allocat FTE'!AT$121</f>
        <v>0</v>
      </c>
      <c r="AU19" s="115">
        <f>'[8]FY20 Initial Budget Allocat (2)'!AU19/'FY20 Initial Budget Allocat FTE'!AU$121</f>
        <v>0</v>
      </c>
      <c r="AV19" s="115">
        <f>'[8]FY20 Initial Budget Allocat (2)'!AV19/'FY20 Initial Budget Allocat FTE'!AV$121</f>
        <v>0</v>
      </c>
      <c r="AW19" s="115">
        <f>'[8]FY20 Initial Budget Allocat (2)'!AW19/'FY20 Initial Budget Allocat FTE'!AW$121</f>
        <v>0</v>
      </c>
      <c r="AX19" s="115">
        <f>'[8]FY20 Initial Budget Allocat (2)'!AX19/'FY20 Initial Budget Allocat FTE'!AX$121</f>
        <v>1</v>
      </c>
      <c r="AY19" s="115">
        <f>'[8]FY20 Initial Budget Allocat (2)'!AY19/'FY20 Initial Budget Allocat FTE'!AY$121</f>
        <v>1</v>
      </c>
      <c r="AZ19" s="115">
        <f>'[8]FY20 Initial Budget Allocat (2)'!AZ19/'FY20 Initial Budget Allocat FTE'!AZ$121</f>
        <v>6.0000000000000009</v>
      </c>
      <c r="BA19" s="115">
        <f>'[8]FY20 Initial Budget Allocat (2)'!BA19/'FY20 Initial Budget Allocat FTE'!BA$121</f>
        <v>6</v>
      </c>
      <c r="BB19" s="115">
        <f>'[8]FY20 Initial Budget Allocat (2)'!BB19/'FY20 Initial Budget Allocat FTE'!BB$121</f>
        <v>0</v>
      </c>
      <c r="BC19" s="115">
        <f>'[8]FY20 Initial Budget Allocat (2)'!BC19/'FY20 Initial Budget Allocat FTE'!BC$121</f>
        <v>0</v>
      </c>
      <c r="BD19" s="115">
        <f>'[8]FY20 Initial Budget Allocat (2)'!BD19/'FY20 Initial Budget Allocat FTE'!BD$121</f>
        <v>1</v>
      </c>
      <c r="BE19" s="115">
        <f>'[8]FY20 Initial Budget Allocat (2)'!BE19/'FY20 Initial Budget Allocat FTE'!BE$121</f>
        <v>0</v>
      </c>
      <c r="BF19" s="115">
        <f>'[8]FY20 Initial Budget Allocat (2)'!BF19/'FY20 Initial Budget Allocat FTE'!BF$121</f>
        <v>0</v>
      </c>
      <c r="BG19" s="115">
        <f>'[8]FY20 Initial Budget Allocat (2)'!BG19/'FY20 Initial Budget Allocat FTE'!BG$121</f>
        <v>2.1252589375208819</v>
      </c>
      <c r="BH19" s="115">
        <f>'[8]FY20 Initial Budget Allocat (2)'!BH19/'FY20 Initial Budget Allocat FTE'!BH$121</f>
        <v>6</v>
      </c>
      <c r="BI19" s="115">
        <f>'[8]FY20 Initial Budget Allocat (2)'!BI19/'FY20 Initial Budget Allocat FTE'!BI$121</f>
        <v>1</v>
      </c>
      <c r="BJ19" s="79"/>
      <c r="BK19" s="79">
        <v>0</v>
      </c>
      <c r="BL19" s="79">
        <v>23194.2</v>
      </c>
      <c r="BM19" s="79">
        <v>134059.74</v>
      </c>
      <c r="BN19" s="79">
        <v>2133.2399999999998</v>
      </c>
      <c r="BO19" s="79">
        <v>0</v>
      </c>
      <c r="BP19" s="115">
        <f>'[8]FY20 Initial Budget Allocat (2)'!BP19/'FY20 Initial Budget Allocat FTE'!BP$121</f>
        <v>0</v>
      </c>
      <c r="BQ19" s="115">
        <f>'[8]FY20 Initial Budget Allocat (2)'!BQ19/'FY20 Initial Budget Allocat FTE'!BQ$121</f>
        <v>0</v>
      </c>
      <c r="BR19" s="115">
        <f>'[8]FY20 Initial Budget Allocat (2)'!BR19/'FY20 Initial Budget Allocat FTE'!BR$121</f>
        <v>0</v>
      </c>
      <c r="BS19" s="115">
        <f>'[8]FY20 Initial Budget Allocat (2)'!BS19/'FY20 Initial Budget Allocat FTE'!BS$121</f>
        <v>0</v>
      </c>
      <c r="BT19" s="115">
        <f>'[8]FY20 Initial Budget Allocat (2)'!BT19/'FY20 Initial Budget Allocat FTE'!BT$121</f>
        <v>0</v>
      </c>
      <c r="BU19" s="115">
        <f>'[8]FY20 Initial Budget Allocat (2)'!BU19/'FY20 Initial Budget Allocat FTE'!BU$121</f>
        <v>0</v>
      </c>
      <c r="BV19" s="115">
        <f>'[8]FY20 Initial Budget Allocat (2)'!BV19/'FY20 Initial Budget Allocat FTE'!BV$121</f>
        <v>0</v>
      </c>
      <c r="BW19" s="80">
        <v>0</v>
      </c>
      <c r="BX19" s="80">
        <v>0</v>
      </c>
      <c r="BY19" s="80">
        <v>0</v>
      </c>
      <c r="BZ19" s="80">
        <v>0</v>
      </c>
      <c r="CA19" s="115">
        <f>'[8]FY20 Initial Budget Allocat (2)'!CA19/'FY20 Initial Budget Allocat FTE'!CA$121</f>
        <v>0</v>
      </c>
      <c r="CB19" s="115">
        <f>'[8]FY20 Initial Budget Allocat (2)'!CB19/'FY20 Initial Budget Allocat FTE'!CB$121</f>
        <v>0</v>
      </c>
      <c r="CC19" s="80">
        <v>0</v>
      </c>
      <c r="CD19" s="115">
        <f>'[8]FY20 Initial Budget Allocat (2)'!CD19/'FY20 Initial Budget Allocat FTE'!CD$121</f>
        <v>0</v>
      </c>
      <c r="CE19" s="115">
        <f>'[8]FY20 Initial Budget Allocat (2)'!CE19/'FY20 Initial Budget Allocat FTE'!CE$121</f>
        <v>0</v>
      </c>
      <c r="CF19" s="115">
        <f>'[8]FY20 Initial Budget Allocat (2)'!CF19/'FY20 Initial Budget Allocat FTE'!CF$121</f>
        <v>0</v>
      </c>
      <c r="CG19" s="115">
        <f>'[8]FY20 Initial Budget Allocat (2)'!CG19/'FY20 Initial Budget Allocat FTE'!CG$121</f>
        <v>0</v>
      </c>
      <c r="CH19" s="115">
        <f>'[8]FY20 Initial Budget Allocat (2)'!CH19/'FY20 Initial Budget Allocat FTE'!CH$121</f>
        <v>0</v>
      </c>
      <c r="CI19" s="115">
        <f>'[8]FY20 Initial Budget Allocat (2)'!CI19/'FY20 Initial Budget Allocat FTE'!CI$121</f>
        <v>0</v>
      </c>
      <c r="CJ19" s="115">
        <f>'[8]FY20 Initial Budget Allocat (2)'!CJ19/'FY20 Initial Budget Allocat FTE'!CJ$121</f>
        <v>0</v>
      </c>
      <c r="CK19" s="79">
        <v>0</v>
      </c>
      <c r="CL19" s="79">
        <v>0</v>
      </c>
      <c r="CM19" s="79">
        <v>54082.8</v>
      </c>
      <c r="CN19" s="79">
        <v>0</v>
      </c>
      <c r="CO19" s="115">
        <f>'[8]FY20 Initial Budget Allocat (2)'!CO19/'FY20 Initial Budget Allocat FTE'!CO$121</f>
        <v>0</v>
      </c>
      <c r="CP19" s="79">
        <v>0</v>
      </c>
      <c r="CQ19" s="79">
        <v>2798.6031746031745</v>
      </c>
      <c r="CR19" s="79">
        <v>0</v>
      </c>
      <c r="CS19" s="79">
        <v>15843.97211111111</v>
      </c>
      <c r="CT19" s="115">
        <f>'[8]FY20 Initial Budget Allocat (2)'!CT19/'FY20 Initial Budget Allocat FTE'!CT$121</f>
        <v>0</v>
      </c>
      <c r="CU19" s="115">
        <f>'[8]FY20 Initial Budget Allocat (2)'!CU19/'FY20 Initial Budget Allocat FTE'!CU$121</f>
        <v>0</v>
      </c>
      <c r="CV19" s="79"/>
      <c r="CW19" s="79">
        <v>0</v>
      </c>
      <c r="CX19" s="115">
        <f>'[8]FY20 Initial Budget Allocat (2)'!CX19/'FY20 Initial Budget Allocat FTE'!CX$121</f>
        <v>0</v>
      </c>
      <c r="CY19" s="79">
        <v>0</v>
      </c>
      <c r="CZ19" s="79">
        <v>0</v>
      </c>
      <c r="DA19" s="79">
        <v>27100</v>
      </c>
      <c r="DB19" s="79">
        <v>65006.053232038372</v>
      </c>
      <c r="DC19" s="82">
        <v>0</v>
      </c>
      <c r="DD19" s="79">
        <v>0</v>
      </c>
      <c r="DE19" s="79"/>
      <c r="DF19" s="79">
        <v>10500</v>
      </c>
      <c r="DG19" s="79">
        <v>0</v>
      </c>
      <c r="DH19" s="83">
        <v>25448.979664238635</v>
      </c>
      <c r="DI19" s="79">
        <v>16424.127107278866</v>
      </c>
      <c r="DJ19" s="79">
        <v>4450938.4460725747</v>
      </c>
      <c r="DK19" s="84">
        <v>109114.5539274253</v>
      </c>
      <c r="DL19" s="84">
        <v>0</v>
      </c>
      <c r="DM19" s="84">
        <f t="shared" si="0"/>
        <v>4560053</v>
      </c>
      <c r="DN19" s="116">
        <f t="shared" si="1"/>
        <v>7</v>
      </c>
      <c r="DO19" s="116">
        <f t="shared" si="2"/>
        <v>8</v>
      </c>
      <c r="DP19" s="116">
        <f t="shared" si="3"/>
        <v>8</v>
      </c>
      <c r="DQ19" s="116">
        <f t="shared" si="4"/>
        <v>9</v>
      </c>
      <c r="DR19" s="116">
        <f t="shared" si="5"/>
        <v>6</v>
      </c>
    </row>
    <row r="20" spans="1:122" x14ac:dyDescent="0.25">
      <c r="A20" s="76">
        <v>221</v>
      </c>
      <c r="B20" s="76" t="s">
        <v>157</v>
      </c>
      <c r="C20" s="77" t="s">
        <v>135</v>
      </c>
      <c r="D20" s="41">
        <v>7</v>
      </c>
      <c r="E20" s="78">
        <v>296</v>
      </c>
      <c r="F20" s="78">
        <v>221.97134670487105</v>
      </c>
      <c r="G20" s="115">
        <f>'[8]FY20 Initial Budget Allocat (2)'!G20/'FY20 Initial Budget Allocat FTE'!G$121</f>
        <v>1</v>
      </c>
      <c r="H20" s="115">
        <f>'[8]FY20 Initial Budget Allocat (2)'!H20/'FY20 Initial Budget Allocat FTE'!H$121</f>
        <v>1</v>
      </c>
      <c r="I20" s="115">
        <f>'[8]FY20 Initial Budget Allocat (2)'!I20/'FY20 Initial Budget Allocat FTE'!I$121</f>
        <v>0</v>
      </c>
      <c r="J20" s="115">
        <f>'[8]FY20 Initial Budget Allocat (2)'!J20/'FY20 Initial Budget Allocat FTE'!J$121</f>
        <v>0</v>
      </c>
      <c r="K20" s="115">
        <f>'[8]FY20 Initial Budget Allocat (2)'!K20/'FY20 Initial Budget Allocat FTE'!K$121</f>
        <v>0</v>
      </c>
      <c r="L20" s="115">
        <f>'[8]FY20 Initial Budget Allocat (2)'!L20/'FY20 Initial Budget Allocat FTE'!L$121</f>
        <v>0.5</v>
      </c>
      <c r="M20" s="115">
        <f>'[8]FY20 Initial Budget Allocat (2)'!M20/'FY20 Initial Budget Allocat FTE'!M$121</f>
        <v>1</v>
      </c>
      <c r="N20" s="115">
        <f>'[8]FY20 Initial Budget Allocat (2)'!N20/'FY20 Initial Budget Allocat FTE'!N$121</f>
        <v>0</v>
      </c>
      <c r="O20" s="115">
        <f>'[8]FY20 Initial Budget Allocat (2)'!O20/'FY20 Initial Budget Allocat FTE'!O$121</f>
        <v>0</v>
      </c>
      <c r="P20" s="115">
        <f>'[8]FY20 Initial Budget Allocat (2)'!P20/'FY20 Initial Budget Allocat FTE'!P$121</f>
        <v>0</v>
      </c>
      <c r="Q20" s="115">
        <f>'[8]FY20 Initial Budget Allocat (2)'!Q20/'FY20 Initial Budget Allocat FTE'!Q$121</f>
        <v>0</v>
      </c>
      <c r="R20" s="115">
        <f>'[8]FY20 Initial Budget Allocat (2)'!R20/'FY20 Initial Budget Allocat FTE'!R$121</f>
        <v>1</v>
      </c>
      <c r="S20" s="115">
        <f>'[8]FY20 Initial Budget Allocat (2)'!S20/'FY20 Initial Budget Allocat FTE'!S$121</f>
        <v>1</v>
      </c>
      <c r="T20" s="115">
        <f>'[8]FY20 Initial Budget Allocat (2)'!T20/'FY20 Initial Budget Allocat FTE'!T$121</f>
        <v>1</v>
      </c>
      <c r="U20" s="115">
        <f>'[8]FY20 Initial Budget Allocat (2)'!U20/'FY20 Initial Budget Allocat FTE'!U$121</f>
        <v>0.5</v>
      </c>
      <c r="V20" s="115">
        <f>'[8]FY20 Initial Budget Allocat (2)'!V20/'FY20 Initial Budget Allocat FTE'!V$121</f>
        <v>1</v>
      </c>
      <c r="W20" s="115">
        <f>'[8]FY20 Initial Budget Allocat (2)'!W20/'FY20 Initial Budget Allocat FTE'!W$121</f>
        <v>1</v>
      </c>
      <c r="X20" s="115">
        <f>'[8]FY20 Initial Budget Allocat (2)'!X20/'FY20 Initial Budget Allocat FTE'!X$121</f>
        <v>1</v>
      </c>
      <c r="Y20" s="115">
        <f>'[8]FY20 Initial Budget Allocat (2)'!Y20/'FY20 Initial Budget Allocat FTE'!Y$121</f>
        <v>0</v>
      </c>
      <c r="Z20" s="115">
        <f>'[8]FY20 Initial Budget Allocat (2)'!Z20/'FY20 Initial Budget Allocat FTE'!Z$121</f>
        <v>0</v>
      </c>
      <c r="AA20" s="115">
        <f>'[8]FY20 Initial Budget Allocat (2)'!AA20/'FY20 Initial Budget Allocat FTE'!AA$121</f>
        <v>2</v>
      </c>
      <c r="AB20" s="115">
        <f>'[8]FY20 Initial Budget Allocat (2)'!AB20/'FY20 Initial Budget Allocat FTE'!AB$121</f>
        <v>2</v>
      </c>
      <c r="AC20" s="115">
        <f>'[8]FY20 Initial Budget Allocat (2)'!AC20/'FY20 Initial Budget Allocat FTE'!AC$121</f>
        <v>1</v>
      </c>
      <c r="AD20" s="115">
        <f>'[8]FY20 Initial Budget Allocat (2)'!AD20/'FY20 Initial Budget Allocat FTE'!AD$121</f>
        <v>1</v>
      </c>
      <c r="AE20" s="115">
        <f>'[8]FY20 Initial Budget Allocat (2)'!AE20/'FY20 Initial Budget Allocat FTE'!AE$121</f>
        <v>3.0000000000000004</v>
      </c>
      <c r="AF20" s="115">
        <f>'[8]FY20 Initial Budget Allocat (2)'!AF20/'FY20 Initial Budget Allocat FTE'!AF$121</f>
        <v>3</v>
      </c>
      <c r="AG20" s="115">
        <f>'[8]FY20 Initial Budget Allocat (2)'!AG20/'FY20 Initial Budget Allocat FTE'!AG$121</f>
        <v>3.0000000000000004</v>
      </c>
      <c r="AH20" s="115">
        <f>'[8]FY20 Initial Budget Allocat (2)'!AH20/'FY20 Initial Budget Allocat FTE'!AH$121</f>
        <v>3</v>
      </c>
      <c r="AI20" s="115">
        <f>'[8]FY20 Initial Budget Allocat (2)'!AI20/'FY20 Initial Budget Allocat FTE'!AI$121</f>
        <v>2</v>
      </c>
      <c r="AJ20" s="115">
        <f>'[8]FY20 Initial Budget Allocat (2)'!AJ20/'FY20 Initial Budget Allocat FTE'!AJ$121</f>
        <v>2</v>
      </c>
      <c r="AK20" s="115">
        <f>'[8]FY20 Initial Budget Allocat (2)'!AK20/'FY20 Initial Budget Allocat FTE'!AK$121</f>
        <v>2</v>
      </c>
      <c r="AL20" s="115">
        <f>'[8]FY20 Initial Budget Allocat (2)'!AL20/'FY20 Initial Budget Allocat FTE'!AL$121</f>
        <v>1</v>
      </c>
      <c r="AM20" s="115">
        <f>'[8]FY20 Initial Budget Allocat (2)'!AM20/'FY20 Initial Budget Allocat FTE'!AM$121</f>
        <v>1</v>
      </c>
      <c r="AN20" s="115">
        <f>'[8]FY20 Initial Budget Allocat (2)'!AN20/'FY20 Initial Budget Allocat FTE'!AN$121</f>
        <v>0</v>
      </c>
      <c r="AO20" s="115">
        <f>'[8]FY20 Initial Budget Allocat (2)'!AO20/'FY20 Initial Budget Allocat FTE'!AO$121</f>
        <v>0</v>
      </c>
      <c r="AP20" s="115">
        <f>'[8]FY20 Initial Budget Allocat (2)'!AP20/'FY20 Initial Budget Allocat FTE'!AP$121</f>
        <v>0</v>
      </c>
      <c r="AQ20" s="115">
        <f>'[8]FY20 Initial Budget Allocat (2)'!AQ20/'FY20 Initial Budget Allocat FTE'!AQ$121</f>
        <v>0</v>
      </c>
      <c r="AR20" s="115">
        <f>'[8]FY20 Initial Budget Allocat (2)'!AR20/'FY20 Initial Budget Allocat FTE'!AR$121</f>
        <v>0</v>
      </c>
      <c r="AS20" s="115">
        <f>'[8]FY20 Initial Budget Allocat (2)'!AS20/'FY20 Initial Budget Allocat FTE'!AS$121</f>
        <v>0</v>
      </c>
      <c r="AT20" s="115">
        <f>'[8]FY20 Initial Budget Allocat (2)'!AT20/'FY20 Initial Budget Allocat FTE'!AT$121</f>
        <v>0</v>
      </c>
      <c r="AU20" s="115">
        <f>'[8]FY20 Initial Budget Allocat (2)'!AU20/'FY20 Initial Budget Allocat FTE'!AU$121</f>
        <v>0</v>
      </c>
      <c r="AV20" s="115">
        <f>'[8]FY20 Initial Budget Allocat (2)'!AV20/'FY20 Initial Budget Allocat FTE'!AV$121</f>
        <v>0</v>
      </c>
      <c r="AW20" s="115">
        <f>'[8]FY20 Initial Budget Allocat (2)'!AW20/'FY20 Initial Budget Allocat FTE'!AW$121</f>
        <v>0</v>
      </c>
      <c r="AX20" s="115">
        <f>'[8]FY20 Initial Budget Allocat (2)'!AX20/'FY20 Initial Budget Allocat FTE'!AX$121</f>
        <v>1</v>
      </c>
      <c r="AY20" s="115">
        <f>'[8]FY20 Initial Budget Allocat (2)'!AY20/'FY20 Initial Budget Allocat FTE'!AY$121</f>
        <v>1</v>
      </c>
      <c r="AZ20" s="115">
        <f>'[8]FY20 Initial Budget Allocat (2)'!AZ20/'FY20 Initial Budget Allocat FTE'!AZ$121</f>
        <v>2</v>
      </c>
      <c r="BA20" s="115">
        <f>'[8]FY20 Initial Budget Allocat (2)'!BA20/'FY20 Initial Budget Allocat FTE'!BA$121</f>
        <v>0</v>
      </c>
      <c r="BB20" s="115">
        <f>'[8]FY20 Initial Budget Allocat (2)'!BB20/'FY20 Initial Budget Allocat FTE'!BB$121</f>
        <v>0</v>
      </c>
      <c r="BC20" s="115">
        <f>'[8]FY20 Initial Budget Allocat (2)'!BC20/'FY20 Initial Budget Allocat FTE'!BC$121</f>
        <v>0</v>
      </c>
      <c r="BD20" s="115">
        <f>'[8]FY20 Initial Budget Allocat (2)'!BD20/'FY20 Initial Budget Allocat FTE'!BD$121</f>
        <v>9.0909090909090912E-2</v>
      </c>
      <c r="BE20" s="115">
        <f>'[8]FY20 Initial Budget Allocat (2)'!BE20/'FY20 Initial Budget Allocat FTE'!BE$121</f>
        <v>0</v>
      </c>
      <c r="BF20" s="115">
        <f>'[8]FY20 Initial Budget Allocat (2)'!BF20/'FY20 Initial Budget Allocat FTE'!BF$121</f>
        <v>0</v>
      </c>
      <c r="BG20" s="115">
        <f>'[8]FY20 Initial Budget Allocat (2)'!BG20/'FY20 Initial Budget Allocat FTE'!BG$121</f>
        <v>2.062629468760441</v>
      </c>
      <c r="BH20" s="115">
        <f>'[8]FY20 Initial Budget Allocat (2)'!BH20/'FY20 Initial Budget Allocat FTE'!BH$121</f>
        <v>4</v>
      </c>
      <c r="BI20" s="115">
        <f>'[8]FY20 Initial Budget Allocat (2)'!BI20/'FY20 Initial Budget Allocat FTE'!BI$121</f>
        <v>1</v>
      </c>
      <c r="BJ20" s="79"/>
      <c r="BK20" s="79">
        <v>0</v>
      </c>
      <c r="BL20" s="79">
        <v>11597.1</v>
      </c>
      <c r="BM20" s="79">
        <v>142616.74</v>
      </c>
      <c r="BN20" s="79">
        <v>2269.4</v>
      </c>
      <c r="BO20" s="79">
        <v>0</v>
      </c>
      <c r="BP20" s="115">
        <f>'[8]FY20 Initial Budget Allocat (2)'!BP20/'FY20 Initial Budget Allocat FTE'!BP$121</f>
        <v>0</v>
      </c>
      <c r="BQ20" s="115">
        <f>'[8]FY20 Initial Budget Allocat (2)'!BQ20/'FY20 Initial Budget Allocat FTE'!BQ$121</f>
        <v>0</v>
      </c>
      <c r="BR20" s="115">
        <f>'[8]FY20 Initial Budget Allocat (2)'!BR20/'FY20 Initial Budget Allocat FTE'!BR$121</f>
        <v>0</v>
      </c>
      <c r="BS20" s="115">
        <f>'[8]FY20 Initial Budget Allocat (2)'!BS20/'FY20 Initial Budget Allocat FTE'!BS$121</f>
        <v>0</v>
      </c>
      <c r="BT20" s="115">
        <f>'[8]FY20 Initial Budget Allocat (2)'!BT20/'FY20 Initial Budget Allocat FTE'!BT$121</f>
        <v>0</v>
      </c>
      <c r="BU20" s="115">
        <f>'[8]FY20 Initial Budget Allocat (2)'!BU20/'FY20 Initial Budget Allocat FTE'!BU$121</f>
        <v>0</v>
      </c>
      <c r="BV20" s="115">
        <f>'[8]FY20 Initial Budget Allocat (2)'!BV20/'FY20 Initial Budget Allocat FTE'!BV$121</f>
        <v>0</v>
      </c>
      <c r="BW20" s="80">
        <v>0</v>
      </c>
      <c r="BX20" s="80">
        <v>0</v>
      </c>
      <c r="BY20" s="80">
        <v>0</v>
      </c>
      <c r="BZ20" s="80">
        <v>0</v>
      </c>
      <c r="CA20" s="115">
        <f>'[8]FY20 Initial Budget Allocat (2)'!CA20/'FY20 Initial Budget Allocat FTE'!CA$121</f>
        <v>0</v>
      </c>
      <c r="CB20" s="115">
        <f>'[8]FY20 Initial Budget Allocat (2)'!CB20/'FY20 Initial Budget Allocat FTE'!CB$121</f>
        <v>0</v>
      </c>
      <c r="CC20" s="80">
        <v>0</v>
      </c>
      <c r="CD20" s="115">
        <f>'[8]FY20 Initial Budget Allocat (2)'!CD20/'FY20 Initial Budget Allocat FTE'!CD$121</f>
        <v>0</v>
      </c>
      <c r="CE20" s="115">
        <f>'[8]FY20 Initial Budget Allocat (2)'!CE20/'FY20 Initial Budget Allocat FTE'!CE$121</f>
        <v>0</v>
      </c>
      <c r="CF20" s="115">
        <f>'[8]FY20 Initial Budget Allocat (2)'!CF20/'FY20 Initial Budget Allocat FTE'!CF$121</f>
        <v>0</v>
      </c>
      <c r="CG20" s="115">
        <f>'[8]FY20 Initial Budget Allocat (2)'!CG20/'FY20 Initial Budget Allocat FTE'!CG$121</f>
        <v>0</v>
      </c>
      <c r="CH20" s="115">
        <f>'[8]FY20 Initial Budget Allocat (2)'!CH20/'FY20 Initial Budget Allocat FTE'!CH$121</f>
        <v>0</v>
      </c>
      <c r="CI20" s="115">
        <f>'[8]FY20 Initial Budget Allocat (2)'!CI20/'FY20 Initial Budget Allocat FTE'!CI$121</f>
        <v>0</v>
      </c>
      <c r="CJ20" s="115">
        <f>'[8]FY20 Initial Budget Allocat (2)'!CJ20/'FY20 Initial Budget Allocat FTE'!CJ$121</f>
        <v>0</v>
      </c>
      <c r="CK20" s="79">
        <v>0</v>
      </c>
      <c r="CL20" s="79">
        <v>0</v>
      </c>
      <c r="CM20" s="79">
        <v>108165.6</v>
      </c>
      <c r="CN20" s="79">
        <v>0</v>
      </c>
      <c r="CO20" s="115">
        <f>'[8]FY20 Initial Budget Allocat (2)'!CO20/'FY20 Initial Budget Allocat FTE'!CO$121</f>
        <v>0</v>
      </c>
      <c r="CP20" s="79">
        <v>0</v>
      </c>
      <c r="CQ20" s="79">
        <v>4439.4269340974206</v>
      </c>
      <c r="CR20" s="79">
        <v>0</v>
      </c>
      <c r="CS20" s="79">
        <v>18255</v>
      </c>
      <c r="CT20" s="115">
        <f>'[8]FY20 Initial Budget Allocat (2)'!CT20/'FY20 Initial Budget Allocat FTE'!CT$121</f>
        <v>0</v>
      </c>
      <c r="CU20" s="115">
        <f>'[8]FY20 Initial Budget Allocat (2)'!CU20/'FY20 Initial Budget Allocat FTE'!CU$121</f>
        <v>0</v>
      </c>
      <c r="CV20" s="79"/>
      <c r="CW20" s="79">
        <v>0</v>
      </c>
      <c r="CX20" s="115">
        <f>'[8]FY20 Initial Budget Allocat (2)'!CX20/'FY20 Initial Budget Allocat FTE'!CX$121</f>
        <v>0</v>
      </c>
      <c r="CY20" s="79">
        <v>0</v>
      </c>
      <c r="CZ20" s="79">
        <v>0</v>
      </c>
      <c r="DA20" s="79">
        <v>29600</v>
      </c>
      <c r="DB20" s="79">
        <v>57126.125890126175</v>
      </c>
      <c r="DC20" s="82">
        <v>0</v>
      </c>
      <c r="DD20" s="79">
        <v>15363.214285714286</v>
      </c>
      <c r="DE20" s="79"/>
      <c r="DF20" s="79">
        <v>12000</v>
      </c>
      <c r="DG20" s="79">
        <v>0</v>
      </c>
      <c r="DH20" s="83">
        <v>107143.69429347086</v>
      </c>
      <c r="DI20" s="79">
        <v>13845.647900100943</v>
      </c>
      <c r="DJ20" s="79">
        <v>4098311.7784298784</v>
      </c>
      <c r="DK20" s="84">
        <v>75000.22157012159</v>
      </c>
      <c r="DL20" s="84">
        <v>80770.38</v>
      </c>
      <c r="DM20" s="84">
        <f t="shared" si="0"/>
        <v>4254082.38</v>
      </c>
      <c r="DN20" s="116">
        <f t="shared" si="1"/>
        <v>9</v>
      </c>
      <c r="DO20" s="116">
        <f t="shared" si="2"/>
        <v>9</v>
      </c>
      <c r="DP20" s="116">
        <f t="shared" si="3"/>
        <v>8</v>
      </c>
      <c r="DQ20" s="116">
        <f t="shared" si="4"/>
        <v>4.0909090909090908</v>
      </c>
      <c r="DR20" s="116">
        <f t="shared" si="5"/>
        <v>0</v>
      </c>
    </row>
    <row r="21" spans="1:122" x14ac:dyDescent="0.25">
      <c r="A21" s="76">
        <v>247</v>
      </c>
      <c r="B21" s="76" t="s">
        <v>158</v>
      </c>
      <c r="C21" s="77" t="s">
        <v>135</v>
      </c>
      <c r="D21" s="41">
        <v>7</v>
      </c>
      <c r="E21" s="78">
        <v>220</v>
      </c>
      <c r="F21" s="78">
        <v>185</v>
      </c>
      <c r="G21" s="115">
        <f>'[8]FY20 Initial Budget Allocat (2)'!G21/'FY20 Initial Budget Allocat FTE'!G$121</f>
        <v>1</v>
      </c>
      <c r="H21" s="115">
        <f>'[8]FY20 Initial Budget Allocat (2)'!H21/'FY20 Initial Budget Allocat FTE'!H$121</f>
        <v>1</v>
      </c>
      <c r="I21" s="115">
        <f>'[8]FY20 Initial Budget Allocat (2)'!I21/'FY20 Initial Budget Allocat FTE'!I$121</f>
        <v>0</v>
      </c>
      <c r="J21" s="115">
        <f>'[8]FY20 Initial Budget Allocat (2)'!J21/'FY20 Initial Budget Allocat FTE'!J$121</f>
        <v>0</v>
      </c>
      <c r="K21" s="115">
        <f>'[8]FY20 Initial Budget Allocat (2)'!K21/'FY20 Initial Budget Allocat FTE'!K$121</f>
        <v>0</v>
      </c>
      <c r="L21" s="115">
        <f>'[8]FY20 Initial Budget Allocat (2)'!L21/'FY20 Initial Budget Allocat FTE'!L$121</f>
        <v>0.5</v>
      </c>
      <c r="M21" s="115">
        <f>'[8]FY20 Initial Budget Allocat (2)'!M21/'FY20 Initial Budget Allocat FTE'!M$121</f>
        <v>1</v>
      </c>
      <c r="N21" s="115">
        <f>'[8]FY20 Initial Budget Allocat (2)'!N21/'FY20 Initial Budget Allocat FTE'!N$121</f>
        <v>0</v>
      </c>
      <c r="O21" s="115">
        <f>'[8]FY20 Initial Budget Allocat (2)'!O21/'FY20 Initial Budget Allocat FTE'!O$121</f>
        <v>0</v>
      </c>
      <c r="P21" s="115">
        <f>'[8]FY20 Initial Budget Allocat (2)'!P21/'FY20 Initial Budget Allocat FTE'!P$121</f>
        <v>0</v>
      </c>
      <c r="Q21" s="115">
        <f>'[8]FY20 Initial Budget Allocat (2)'!Q21/'FY20 Initial Budget Allocat FTE'!Q$121</f>
        <v>0</v>
      </c>
      <c r="R21" s="115">
        <f>'[8]FY20 Initial Budget Allocat (2)'!R21/'FY20 Initial Budget Allocat FTE'!R$121</f>
        <v>1</v>
      </c>
      <c r="S21" s="115">
        <f>'[8]FY20 Initial Budget Allocat (2)'!S21/'FY20 Initial Budget Allocat FTE'!S$121</f>
        <v>1</v>
      </c>
      <c r="T21" s="115">
        <f>'[8]FY20 Initial Budget Allocat (2)'!T21/'FY20 Initial Budget Allocat FTE'!T$121</f>
        <v>1</v>
      </c>
      <c r="U21" s="115">
        <f>'[8]FY20 Initial Budget Allocat (2)'!U21/'FY20 Initial Budget Allocat FTE'!U$121</f>
        <v>0.5</v>
      </c>
      <c r="V21" s="115">
        <f>'[8]FY20 Initial Budget Allocat (2)'!V21/'FY20 Initial Budget Allocat FTE'!V$121</f>
        <v>1</v>
      </c>
      <c r="W21" s="115">
        <f>'[8]FY20 Initial Budget Allocat (2)'!W21/'FY20 Initial Budget Allocat FTE'!W$121</f>
        <v>1</v>
      </c>
      <c r="X21" s="115">
        <f>'[8]FY20 Initial Budget Allocat (2)'!X21/'FY20 Initial Budget Allocat FTE'!X$121</f>
        <v>1</v>
      </c>
      <c r="Y21" s="115">
        <f>'[8]FY20 Initial Budget Allocat (2)'!Y21/'FY20 Initial Budget Allocat FTE'!Y$121</f>
        <v>0</v>
      </c>
      <c r="Z21" s="115">
        <f>'[8]FY20 Initial Budget Allocat (2)'!Z21/'FY20 Initial Budget Allocat FTE'!Z$121</f>
        <v>0</v>
      </c>
      <c r="AA21" s="115">
        <f>'[8]FY20 Initial Budget Allocat (2)'!AA21/'FY20 Initial Budget Allocat FTE'!AA$121</f>
        <v>1</v>
      </c>
      <c r="AB21" s="115">
        <f>'[8]FY20 Initial Budget Allocat (2)'!AB21/'FY20 Initial Budget Allocat FTE'!AB$121</f>
        <v>1</v>
      </c>
      <c r="AC21" s="115">
        <f>'[8]FY20 Initial Budget Allocat (2)'!AC21/'FY20 Initial Budget Allocat FTE'!AC$121</f>
        <v>0</v>
      </c>
      <c r="AD21" s="115">
        <f>'[8]FY20 Initial Budget Allocat (2)'!AD21/'FY20 Initial Budget Allocat FTE'!AD$121</f>
        <v>0</v>
      </c>
      <c r="AE21" s="115">
        <f>'[8]FY20 Initial Budget Allocat (2)'!AE21/'FY20 Initial Budget Allocat FTE'!AE$121</f>
        <v>2</v>
      </c>
      <c r="AF21" s="115">
        <f>'[8]FY20 Initial Budget Allocat (2)'!AF21/'FY20 Initial Budget Allocat FTE'!AF$121</f>
        <v>2</v>
      </c>
      <c r="AG21" s="115">
        <f>'[8]FY20 Initial Budget Allocat (2)'!AG21/'FY20 Initial Budget Allocat FTE'!AG$121</f>
        <v>2</v>
      </c>
      <c r="AH21" s="115">
        <f>'[8]FY20 Initial Budget Allocat (2)'!AH21/'FY20 Initial Budget Allocat FTE'!AH$121</f>
        <v>2</v>
      </c>
      <c r="AI21" s="115">
        <f>'[8]FY20 Initial Budget Allocat (2)'!AI21/'FY20 Initial Budget Allocat FTE'!AI$121</f>
        <v>2</v>
      </c>
      <c r="AJ21" s="115">
        <f>'[8]FY20 Initial Budget Allocat (2)'!AJ21/'FY20 Initial Budget Allocat FTE'!AJ$121</f>
        <v>1</v>
      </c>
      <c r="AK21" s="115">
        <f>'[8]FY20 Initial Budget Allocat (2)'!AK21/'FY20 Initial Budget Allocat FTE'!AK$121</f>
        <v>1</v>
      </c>
      <c r="AL21" s="115">
        <f>'[8]FY20 Initial Budget Allocat (2)'!AL21/'FY20 Initial Budget Allocat FTE'!AL$121</f>
        <v>2</v>
      </c>
      <c r="AM21" s="115">
        <f>'[8]FY20 Initial Budget Allocat (2)'!AM21/'FY20 Initial Budget Allocat FTE'!AM$121</f>
        <v>1</v>
      </c>
      <c r="AN21" s="115">
        <f>'[8]FY20 Initial Budget Allocat (2)'!AN21/'FY20 Initial Budget Allocat FTE'!AN$121</f>
        <v>0</v>
      </c>
      <c r="AO21" s="115">
        <f>'[8]FY20 Initial Budget Allocat (2)'!AO21/'FY20 Initial Budget Allocat FTE'!AO$121</f>
        <v>0</v>
      </c>
      <c r="AP21" s="115">
        <f>'[8]FY20 Initial Budget Allocat (2)'!AP21/'FY20 Initial Budget Allocat FTE'!AP$121</f>
        <v>0</v>
      </c>
      <c r="AQ21" s="115">
        <f>'[8]FY20 Initial Budget Allocat (2)'!AQ21/'FY20 Initial Budget Allocat FTE'!AQ$121</f>
        <v>0</v>
      </c>
      <c r="AR21" s="115">
        <f>'[8]FY20 Initial Budget Allocat (2)'!AR21/'FY20 Initial Budget Allocat FTE'!AR$121</f>
        <v>0</v>
      </c>
      <c r="AS21" s="115">
        <f>'[8]FY20 Initial Budget Allocat (2)'!AS21/'FY20 Initial Budget Allocat FTE'!AS$121</f>
        <v>0</v>
      </c>
      <c r="AT21" s="115">
        <f>'[8]FY20 Initial Budget Allocat (2)'!AT21/'FY20 Initial Budget Allocat FTE'!AT$121</f>
        <v>0</v>
      </c>
      <c r="AU21" s="115">
        <f>'[8]FY20 Initial Budget Allocat (2)'!AU21/'FY20 Initial Budget Allocat FTE'!AU$121</f>
        <v>0</v>
      </c>
      <c r="AV21" s="115">
        <f>'[8]FY20 Initial Budget Allocat (2)'!AV21/'FY20 Initial Budget Allocat FTE'!AV$121</f>
        <v>0</v>
      </c>
      <c r="AW21" s="115">
        <f>'[8]FY20 Initial Budget Allocat (2)'!AW21/'FY20 Initial Budget Allocat FTE'!AW$121</f>
        <v>0</v>
      </c>
      <c r="AX21" s="115">
        <f>'[8]FY20 Initial Budget Allocat (2)'!AX21/'FY20 Initial Budget Allocat FTE'!AX$121</f>
        <v>1</v>
      </c>
      <c r="AY21" s="115">
        <f>'[8]FY20 Initial Budget Allocat (2)'!AY21/'FY20 Initial Budget Allocat FTE'!AY$121</f>
        <v>2</v>
      </c>
      <c r="AZ21" s="115">
        <f>'[8]FY20 Initial Budget Allocat (2)'!AZ21/'FY20 Initial Budget Allocat FTE'!AZ$121</f>
        <v>6.0000000000000009</v>
      </c>
      <c r="BA21" s="115">
        <f>'[8]FY20 Initial Budget Allocat (2)'!BA21/'FY20 Initial Budget Allocat FTE'!BA$121</f>
        <v>4</v>
      </c>
      <c r="BB21" s="115">
        <f>'[8]FY20 Initial Budget Allocat (2)'!BB21/'FY20 Initial Budget Allocat FTE'!BB$121</f>
        <v>0</v>
      </c>
      <c r="BC21" s="115">
        <f>'[8]FY20 Initial Budget Allocat (2)'!BC21/'FY20 Initial Budget Allocat FTE'!BC$121</f>
        <v>0</v>
      </c>
      <c r="BD21" s="115">
        <f>'[8]FY20 Initial Budget Allocat (2)'!BD21/'FY20 Initial Budget Allocat FTE'!BD$121</f>
        <v>9.0909090909090912E-2</v>
      </c>
      <c r="BE21" s="115">
        <f>'[8]FY20 Initial Budget Allocat (2)'!BE21/'FY20 Initial Budget Allocat FTE'!BE$121</f>
        <v>0</v>
      </c>
      <c r="BF21" s="115">
        <f>'[8]FY20 Initial Budget Allocat (2)'!BF21/'FY20 Initial Budget Allocat FTE'!BF$121</f>
        <v>0</v>
      </c>
      <c r="BG21" s="115">
        <f>'[8]FY20 Initial Budget Allocat (2)'!BG21/'FY20 Initial Budget Allocat FTE'!BG$121</f>
        <v>0</v>
      </c>
      <c r="BH21" s="115">
        <f>'[8]FY20 Initial Budget Allocat (2)'!BH21/'FY20 Initial Budget Allocat FTE'!BH$121</f>
        <v>0</v>
      </c>
      <c r="BI21" s="115">
        <f>'[8]FY20 Initial Budget Allocat (2)'!BI21/'FY20 Initial Budget Allocat FTE'!BI$121</f>
        <v>0</v>
      </c>
      <c r="BJ21" s="79"/>
      <c r="BK21" s="79">
        <v>0</v>
      </c>
      <c r="BL21" s="79"/>
      <c r="BM21" s="79">
        <v>132158.18</v>
      </c>
      <c r="BN21" s="79">
        <v>2102.98</v>
      </c>
      <c r="BO21" s="79">
        <v>0</v>
      </c>
      <c r="BP21" s="115">
        <f>'[8]FY20 Initial Budget Allocat (2)'!BP21/'FY20 Initial Budget Allocat FTE'!BP$121</f>
        <v>0</v>
      </c>
      <c r="BQ21" s="115">
        <f>'[8]FY20 Initial Budget Allocat (2)'!BQ21/'FY20 Initial Budget Allocat FTE'!BQ$121</f>
        <v>0</v>
      </c>
      <c r="BR21" s="115">
        <f>'[8]FY20 Initial Budget Allocat (2)'!BR21/'FY20 Initial Budget Allocat FTE'!BR$121</f>
        <v>0</v>
      </c>
      <c r="BS21" s="115">
        <f>'[8]FY20 Initial Budget Allocat (2)'!BS21/'FY20 Initial Budget Allocat FTE'!BS$121</f>
        <v>0</v>
      </c>
      <c r="BT21" s="115">
        <f>'[8]FY20 Initial Budget Allocat (2)'!BT21/'FY20 Initial Budget Allocat FTE'!BT$121</f>
        <v>1</v>
      </c>
      <c r="BU21" s="115">
        <f>'[8]FY20 Initial Budget Allocat (2)'!BU21/'FY20 Initial Budget Allocat FTE'!BU$121</f>
        <v>0</v>
      </c>
      <c r="BV21" s="115">
        <f>'[8]FY20 Initial Budget Allocat (2)'!BV21/'FY20 Initial Budget Allocat FTE'!BV$121</f>
        <v>0</v>
      </c>
      <c r="BW21" s="80">
        <v>0</v>
      </c>
      <c r="BX21" s="80">
        <v>0</v>
      </c>
      <c r="BY21" s="80">
        <v>0</v>
      </c>
      <c r="BZ21" s="80">
        <v>0</v>
      </c>
      <c r="CA21" s="115">
        <f>'[8]FY20 Initial Budget Allocat (2)'!CA21/'FY20 Initial Budget Allocat FTE'!CA$121</f>
        <v>0</v>
      </c>
      <c r="CB21" s="115">
        <f>'[8]FY20 Initial Budget Allocat (2)'!CB21/'FY20 Initial Budget Allocat FTE'!CB$121</f>
        <v>0</v>
      </c>
      <c r="CC21" s="80">
        <v>0</v>
      </c>
      <c r="CD21" s="115">
        <f>'[8]FY20 Initial Budget Allocat (2)'!CD21/'FY20 Initial Budget Allocat FTE'!CD$121</f>
        <v>0</v>
      </c>
      <c r="CE21" s="115">
        <f>'[8]FY20 Initial Budget Allocat (2)'!CE21/'FY20 Initial Budget Allocat FTE'!CE$121</f>
        <v>0</v>
      </c>
      <c r="CF21" s="115">
        <f>'[8]FY20 Initial Budget Allocat (2)'!CF21/'FY20 Initial Budget Allocat FTE'!CF$121</f>
        <v>0</v>
      </c>
      <c r="CG21" s="115">
        <f>'[8]FY20 Initial Budget Allocat (2)'!CG21/'FY20 Initial Budget Allocat FTE'!CG$121</f>
        <v>0</v>
      </c>
      <c r="CH21" s="115">
        <f>'[8]FY20 Initial Budget Allocat (2)'!CH21/'FY20 Initial Budget Allocat FTE'!CH$121</f>
        <v>0</v>
      </c>
      <c r="CI21" s="115">
        <f>'[8]FY20 Initial Budget Allocat (2)'!CI21/'FY20 Initial Budget Allocat FTE'!CI$121</f>
        <v>0</v>
      </c>
      <c r="CJ21" s="115">
        <f>'[8]FY20 Initial Budget Allocat (2)'!CJ21/'FY20 Initial Budget Allocat FTE'!CJ$121</f>
        <v>0</v>
      </c>
      <c r="CK21" s="79">
        <v>0</v>
      </c>
      <c r="CL21" s="79">
        <v>0</v>
      </c>
      <c r="CM21" s="79">
        <v>108165.6</v>
      </c>
      <c r="CN21" s="79">
        <v>0</v>
      </c>
      <c r="CO21" s="115">
        <f>'[8]FY20 Initial Budget Allocat (2)'!CO21/'FY20 Initial Budget Allocat FTE'!CO$121</f>
        <v>0</v>
      </c>
      <c r="CP21" s="79">
        <v>75000</v>
      </c>
      <c r="CQ21" s="79">
        <v>7400</v>
      </c>
      <c r="CR21" s="79">
        <v>0</v>
      </c>
      <c r="CS21" s="79">
        <v>12992.392694063927</v>
      </c>
      <c r="CT21" s="115">
        <f>'[8]FY20 Initial Budget Allocat (2)'!CT21/'FY20 Initial Budget Allocat FTE'!CT$121</f>
        <v>0</v>
      </c>
      <c r="CU21" s="115">
        <f>'[8]FY20 Initial Budget Allocat (2)'!CU21/'FY20 Initial Budget Allocat FTE'!CU$121</f>
        <v>0</v>
      </c>
      <c r="CV21" s="79"/>
      <c r="CW21" s="79">
        <v>0</v>
      </c>
      <c r="CX21" s="115">
        <f>'[8]FY20 Initial Budget Allocat (2)'!CX21/'FY20 Initial Budget Allocat FTE'!CX$121</f>
        <v>0</v>
      </c>
      <c r="CY21" s="79">
        <v>0</v>
      </c>
      <c r="CZ21" s="79">
        <v>0</v>
      </c>
      <c r="DA21" s="79">
        <v>22000</v>
      </c>
      <c r="DB21" s="79">
        <v>57126.125890126175</v>
      </c>
      <c r="DC21" s="82">
        <v>0</v>
      </c>
      <c r="DD21" s="79">
        <v>15363.214285714286</v>
      </c>
      <c r="DE21" s="79"/>
      <c r="DF21" s="79">
        <v>21900</v>
      </c>
      <c r="DG21" s="79">
        <v>0</v>
      </c>
      <c r="DH21" s="83">
        <v>105063.18339165328</v>
      </c>
      <c r="DI21" s="79">
        <v>19166.329679481692</v>
      </c>
      <c r="DJ21" s="79">
        <v>4216592.5294859717</v>
      </c>
      <c r="DK21" s="84">
        <v>105202.47051402833</v>
      </c>
      <c r="DL21" s="84">
        <v>73126.25</v>
      </c>
      <c r="DM21" s="84">
        <f t="shared" si="0"/>
        <v>4394921.25</v>
      </c>
      <c r="DN21" s="116">
        <f t="shared" si="1"/>
        <v>5</v>
      </c>
      <c r="DO21" s="116">
        <f t="shared" si="2"/>
        <v>5</v>
      </c>
      <c r="DP21" s="116">
        <f t="shared" si="3"/>
        <v>7</v>
      </c>
      <c r="DQ21" s="116">
        <f t="shared" si="4"/>
        <v>9.0909090909090917</v>
      </c>
      <c r="DR21" s="116">
        <f t="shared" si="5"/>
        <v>4</v>
      </c>
    </row>
    <row r="22" spans="1:122" x14ac:dyDescent="0.25">
      <c r="A22" s="76">
        <v>360</v>
      </c>
      <c r="B22" s="76" t="s">
        <v>159</v>
      </c>
      <c r="C22" s="77" t="s">
        <v>150</v>
      </c>
      <c r="D22" s="41">
        <v>6</v>
      </c>
      <c r="E22" s="78">
        <v>378</v>
      </c>
      <c r="F22" s="78">
        <v>64</v>
      </c>
      <c r="G22" s="115">
        <f>'[8]FY20 Initial Budget Allocat (2)'!G22/'FY20 Initial Budget Allocat FTE'!G$121</f>
        <v>1</v>
      </c>
      <c r="H22" s="115">
        <f>'[8]FY20 Initial Budget Allocat (2)'!H22/'FY20 Initial Budget Allocat FTE'!H$121</f>
        <v>1</v>
      </c>
      <c r="I22" s="115">
        <f>'[8]FY20 Initial Budget Allocat (2)'!I22/'FY20 Initial Budget Allocat FTE'!I$121</f>
        <v>0.3</v>
      </c>
      <c r="J22" s="115">
        <f>'[8]FY20 Initial Budget Allocat (2)'!J22/'FY20 Initial Budget Allocat FTE'!J$121</f>
        <v>1</v>
      </c>
      <c r="K22" s="115">
        <f>'[8]FY20 Initial Budget Allocat (2)'!K22/'FY20 Initial Budget Allocat FTE'!K$121</f>
        <v>0</v>
      </c>
      <c r="L22" s="115">
        <f>'[8]FY20 Initial Budget Allocat (2)'!L22/'FY20 Initial Budget Allocat FTE'!L$121</f>
        <v>1</v>
      </c>
      <c r="M22" s="115">
        <f>'[8]FY20 Initial Budget Allocat (2)'!M22/'FY20 Initial Budget Allocat FTE'!M$121</f>
        <v>1</v>
      </c>
      <c r="N22" s="115">
        <f>'[8]FY20 Initial Budget Allocat (2)'!N22/'FY20 Initial Budget Allocat FTE'!N$121</f>
        <v>0</v>
      </c>
      <c r="O22" s="115">
        <f>'[8]FY20 Initial Budget Allocat (2)'!O22/'FY20 Initial Budget Allocat FTE'!O$121</f>
        <v>0</v>
      </c>
      <c r="P22" s="115">
        <f>'[8]FY20 Initial Budget Allocat (2)'!P22/'FY20 Initial Budget Allocat FTE'!P$121</f>
        <v>0</v>
      </c>
      <c r="Q22" s="115">
        <f>'[8]FY20 Initial Budget Allocat (2)'!Q22/'FY20 Initial Budget Allocat FTE'!Q$121</f>
        <v>0</v>
      </c>
      <c r="R22" s="115">
        <f>'[8]FY20 Initial Budget Allocat (2)'!R22/'FY20 Initial Budget Allocat FTE'!R$121</f>
        <v>1</v>
      </c>
      <c r="S22" s="115">
        <f>'[8]FY20 Initial Budget Allocat (2)'!S22/'FY20 Initial Budget Allocat FTE'!S$121</f>
        <v>1</v>
      </c>
      <c r="T22" s="115">
        <f>'[8]FY20 Initial Budget Allocat (2)'!T22/'FY20 Initial Budget Allocat FTE'!T$121</f>
        <v>2</v>
      </c>
      <c r="U22" s="115">
        <f>'[8]FY20 Initial Budget Allocat (2)'!U22/'FY20 Initial Budget Allocat FTE'!U$121</f>
        <v>1</v>
      </c>
      <c r="V22" s="115">
        <f>'[8]FY20 Initial Budget Allocat (2)'!V22/'FY20 Initial Budget Allocat FTE'!V$121</f>
        <v>1</v>
      </c>
      <c r="W22" s="115">
        <f>'[8]FY20 Initial Budget Allocat (2)'!W22/'FY20 Initial Budget Allocat FTE'!W$121</f>
        <v>1</v>
      </c>
      <c r="X22" s="115">
        <f>'[8]FY20 Initial Budget Allocat (2)'!X22/'FY20 Initial Budget Allocat FTE'!X$121</f>
        <v>1</v>
      </c>
      <c r="Y22" s="115">
        <f>'[8]FY20 Initial Budget Allocat (2)'!Y22/'FY20 Initial Budget Allocat FTE'!Y$121</f>
        <v>0</v>
      </c>
      <c r="Z22" s="115">
        <f>'[8]FY20 Initial Budget Allocat (2)'!Z22/'FY20 Initial Budget Allocat FTE'!Z$121</f>
        <v>0</v>
      </c>
      <c r="AA22" s="115">
        <f>'[8]FY20 Initial Budget Allocat (2)'!AA22/'FY20 Initial Budget Allocat FTE'!AA$121</f>
        <v>0</v>
      </c>
      <c r="AB22" s="115">
        <f>'[8]FY20 Initial Budget Allocat (2)'!AB22/'FY20 Initial Budget Allocat FTE'!AB$121</f>
        <v>0</v>
      </c>
      <c r="AC22" s="115">
        <f>'[8]FY20 Initial Budget Allocat (2)'!AC22/'FY20 Initial Budget Allocat FTE'!AC$121</f>
        <v>8</v>
      </c>
      <c r="AD22" s="115">
        <f>'[8]FY20 Initial Budget Allocat (2)'!AD22/'FY20 Initial Budget Allocat FTE'!AD$121</f>
        <v>8</v>
      </c>
      <c r="AE22" s="115">
        <f>'[8]FY20 Initial Budget Allocat (2)'!AE22/'FY20 Initial Budget Allocat FTE'!AE$121</f>
        <v>0</v>
      </c>
      <c r="AF22" s="115">
        <f>'[8]FY20 Initial Budget Allocat (2)'!AF22/'FY20 Initial Budget Allocat FTE'!AF$121</f>
        <v>0</v>
      </c>
      <c r="AG22" s="115">
        <f>'[8]FY20 Initial Budget Allocat (2)'!AG22/'FY20 Initial Budget Allocat FTE'!AG$121</f>
        <v>2</v>
      </c>
      <c r="AH22" s="115">
        <f>'[8]FY20 Initial Budget Allocat (2)'!AH22/'FY20 Initial Budget Allocat FTE'!AH$121</f>
        <v>2</v>
      </c>
      <c r="AI22" s="115">
        <f>'[8]FY20 Initial Budget Allocat (2)'!AI22/'FY20 Initial Budget Allocat FTE'!AI$121</f>
        <v>2</v>
      </c>
      <c r="AJ22" s="115">
        <f>'[8]FY20 Initial Budget Allocat (2)'!AJ22/'FY20 Initial Budget Allocat FTE'!AJ$121</f>
        <v>2</v>
      </c>
      <c r="AK22" s="115">
        <f>'[8]FY20 Initial Budget Allocat (2)'!AK22/'FY20 Initial Budget Allocat FTE'!AK$121</f>
        <v>2</v>
      </c>
      <c r="AL22" s="115">
        <f>'[8]FY20 Initial Budget Allocat (2)'!AL22/'FY20 Initial Budget Allocat FTE'!AL$121</f>
        <v>1</v>
      </c>
      <c r="AM22" s="115">
        <f>'[8]FY20 Initial Budget Allocat (2)'!AM22/'FY20 Initial Budget Allocat FTE'!AM$121</f>
        <v>1</v>
      </c>
      <c r="AN22" s="115">
        <f>'[8]FY20 Initial Budget Allocat (2)'!AN22/'FY20 Initial Budget Allocat FTE'!AN$121</f>
        <v>1.2</v>
      </c>
      <c r="AO22" s="115">
        <f>'[8]FY20 Initial Budget Allocat (2)'!AO22/'FY20 Initial Budget Allocat FTE'!AO$121</f>
        <v>1.5000000000000002</v>
      </c>
      <c r="AP22" s="115">
        <f>'[8]FY20 Initial Budget Allocat (2)'!AP22/'FY20 Initial Budget Allocat FTE'!AP$121</f>
        <v>1</v>
      </c>
      <c r="AQ22" s="115">
        <f>'[8]FY20 Initial Budget Allocat (2)'!AQ22/'FY20 Initial Budget Allocat FTE'!AQ$121</f>
        <v>0</v>
      </c>
      <c r="AR22" s="115">
        <f>'[8]FY20 Initial Budget Allocat (2)'!AR22/'FY20 Initial Budget Allocat FTE'!AR$121</f>
        <v>0</v>
      </c>
      <c r="AS22" s="115">
        <f>'[8]FY20 Initial Budget Allocat (2)'!AS22/'FY20 Initial Budget Allocat FTE'!AS$121</f>
        <v>0</v>
      </c>
      <c r="AT22" s="115">
        <f>'[8]FY20 Initial Budget Allocat (2)'!AT22/'FY20 Initial Budget Allocat FTE'!AT$121</f>
        <v>0</v>
      </c>
      <c r="AU22" s="115">
        <f>'[8]FY20 Initial Budget Allocat (2)'!AU22/'FY20 Initial Budget Allocat FTE'!AU$121</f>
        <v>0</v>
      </c>
      <c r="AV22" s="115">
        <f>'[8]FY20 Initial Budget Allocat (2)'!AV22/'FY20 Initial Budget Allocat FTE'!AV$121</f>
        <v>0</v>
      </c>
      <c r="AW22" s="115">
        <f>'[8]FY20 Initial Budget Allocat (2)'!AW22/'FY20 Initial Budget Allocat FTE'!AW$121</f>
        <v>0</v>
      </c>
      <c r="AX22" s="115">
        <f>'[8]FY20 Initial Budget Allocat (2)'!AX22/'FY20 Initial Budget Allocat FTE'!AX$121</f>
        <v>1</v>
      </c>
      <c r="AY22" s="115">
        <f>'[8]FY20 Initial Budget Allocat (2)'!AY22/'FY20 Initial Budget Allocat FTE'!AY$121</f>
        <v>1</v>
      </c>
      <c r="AZ22" s="115">
        <f>'[8]FY20 Initial Budget Allocat (2)'!AZ22/'FY20 Initial Budget Allocat FTE'!AZ$121</f>
        <v>3.0000000000000004</v>
      </c>
      <c r="BA22" s="115">
        <f>'[8]FY20 Initial Budget Allocat (2)'!BA22/'FY20 Initial Budget Allocat FTE'!BA$121</f>
        <v>0</v>
      </c>
      <c r="BB22" s="115">
        <f>'[8]FY20 Initial Budget Allocat (2)'!BB22/'FY20 Initial Budget Allocat FTE'!BB$121</f>
        <v>0</v>
      </c>
      <c r="BC22" s="115">
        <f>'[8]FY20 Initial Budget Allocat (2)'!BC22/'FY20 Initial Budget Allocat FTE'!BC$121</f>
        <v>0</v>
      </c>
      <c r="BD22" s="115">
        <f>'[8]FY20 Initial Budget Allocat (2)'!BD22/'FY20 Initial Budget Allocat FTE'!BD$121</f>
        <v>0.45454545454545453</v>
      </c>
      <c r="BE22" s="115">
        <f>'[8]FY20 Initial Budget Allocat (2)'!BE22/'FY20 Initial Budget Allocat FTE'!BE$121</f>
        <v>0</v>
      </c>
      <c r="BF22" s="115">
        <f>'[8]FY20 Initial Budget Allocat (2)'!BF22/'FY20 Initial Budget Allocat FTE'!BF$121</f>
        <v>0</v>
      </c>
      <c r="BG22" s="115">
        <f>'[8]FY20 Initial Budget Allocat (2)'!BG22/'FY20 Initial Budget Allocat FTE'!BG$121</f>
        <v>0</v>
      </c>
      <c r="BH22" s="115">
        <f>'[8]FY20 Initial Budget Allocat (2)'!BH22/'FY20 Initial Budget Allocat FTE'!BH$121</f>
        <v>0</v>
      </c>
      <c r="BI22" s="115">
        <f>'[8]FY20 Initial Budget Allocat (2)'!BI22/'FY20 Initial Budget Allocat FTE'!BI$121</f>
        <v>0</v>
      </c>
      <c r="BJ22" s="79"/>
      <c r="BK22" s="79">
        <v>0</v>
      </c>
      <c r="BL22" s="79"/>
      <c r="BM22" s="79">
        <v>0</v>
      </c>
      <c r="BN22" s="79">
        <v>0</v>
      </c>
      <c r="BO22" s="79">
        <v>9125</v>
      </c>
      <c r="BP22" s="115">
        <f>'[8]FY20 Initial Budget Allocat (2)'!BP22/'FY20 Initial Budget Allocat FTE'!BP$121</f>
        <v>0</v>
      </c>
      <c r="BQ22" s="115">
        <f>'[8]FY20 Initial Budget Allocat (2)'!BQ22/'FY20 Initial Budget Allocat FTE'!BQ$121</f>
        <v>0</v>
      </c>
      <c r="BR22" s="115">
        <f>'[8]FY20 Initial Budget Allocat (2)'!BR22/'FY20 Initial Budget Allocat FTE'!BR$121</f>
        <v>0</v>
      </c>
      <c r="BS22" s="115">
        <f>'[8]FY20 Initial Budget Allocat (2)'!BS22/'FY20 Initial Budget Allocat FTE'!BS$121</f>
        <v>0</v>
      </c>
      <c r="BT22" s="115">
        <f>'[8]FY20 Initial Budget Allocat (2)'!BT22/'FY20 Initial Budget Allocat FTE'!BT$121</f>
        <v>0</v>
      </c>
      <c r="BU22" s="115">
        <f>'[8]FY20 Initial Budget Allocat (2)'!BU22/'FY20 Initial Budget Allocat FTE'!BU$121</f>
        <v>0</v>
      </c>
      <c r="BV22" s="115">
        <f>'[8]FY20 Initial Budget Allocat (2)'!BV22/'FY20 Initial Budget Allocat FTE'!BV$121</f>
        <v>0</v>
      </c>
      <c r="BW22" s="80">
        <v>0</v>
      </c>
      <c r="BX22" s="80">
        <v>0</v>
      </c>
      <c r="BY22" s="80">
        <v>0</v>
      </c>
      <c r="BZ22" s="80">
        <v>0</v>
      </c>
      <c r="CA22" s="115">
        <f>'[8]FY20 Initial Budget Allocat (2)'!CA22/'FY20 Initial Budget Allocat FTE'!CA$121</f>
        <v>0</v>
      </c>
      <c r="CB22" s="115">
        <f>'[8]FY20 Initial Budget Allocat (2)'!CB22/'FY20 Initial Budget Allocat FTE'!CB$121</f>
        <v>0</v>
      </c>
      <c r="CC22" s="80">
        <v>0</v>
      </c>
      <c r="CD22" s="115">
        <f>'[8]FY20 Initial Budget Allocat (2)'!CD22/'FY20 Initial Budget Allocat FTE'!CD$121</f>
        <v>0</v>
      </c>
      <c r="CE22" s="115">
        <f>'[8]FY20 Initial Budget Allocat (2)'!CE22/'FY20 Initial Budget Allocat FTE'!CE$121</f>
        <v>0</v>
      </c>
      <c r="CF22" s="115">
        <f>'[8]FY20 Initial Budget Allocat (2)'!CF22/'FY20 Initial Budget Allocat FTE'!CF$121</f>
        <v>0</v>
      </c>
      <c r="CG22" s="115">
        <f>'[8]FY20 Initial Budget Allocat (2)'!CG22/'FY20 Initial Budget Allocat FTE'!CG$121</f>
        <v>0</v>
      </c>
      <c r="CH22" s="115">
        <f>'[8]FY20 Initial Budget Allocat (2)'!CH22/'FY20 Initial Budget Allocat FTE'!CH$121</f>
        <v>0</v>
      </c>
      <c r="CI22" s="115">
        <f>'[8]FY20 Initial Budget Allocat (2)'!CI22/'FY20 Initial Budget Allocat FTE'!CI$121</f>
        <v>2</v>
      </c>
      <c r="CJ22" s="115">
        <f>'[8]FY20 Initial Budget Allocat (2)'!CJ22/'FY20 Initial Budget Allocat FTE'!CJ$121</f>
        <v>0</v>
      </c>
      <c r="CK22" s="79">
        <v>23000</v>
      </c>
      <c r="CL22" s="79">
        <v>5000</v>
      </c>
      <c r="CM22" s="79">
        <v>162248.4</v>
      </c>
      <c r="CN22" s="79">
        <v>100000</v>
      </c>
      <c r="CO22" s="115">
        <f>'[8]FY20 Initial Budget Allocat (2)'!CO22/'FY20 Initial Budget Allocat FTE'!CO$121</f>
        <v>0</v>
      </c>
      <c r="CP22" s="79">
        <v>0</v>
      </c>
      <c r="CQ22" s="79">
        <v>0</v>
      </c>
      <c r="CR22" s="79">
        <v>72000</v>
      </c>
      <c r="CS22" s="79">
        <v>22195.4</v>
      </c>
      <c r="CT22" s="115">
        <f>'[8]FY20 Initial Budget Allocat (2)'!CT22/'FY20 Initial Budget Allocat FTE'!CT$121</f>
        <v>0</v>
      </c>
      <c r="CU22" s="115">
        <f>'[8]FY20 Initial Budget Allocat (2)'!CU22/'FY20 Initial Budget Allocat FTE'!CU$121</f>
        <v>0</v>
      </c>
      <c r="CV22" s="79"/>
      <c r="CW22" s="79">
        <v>0</v>
      </c>
      <c r="CX22" s="115">
        <f>'[8]FY20 Initial Budget Allocat (2)'!CX22/'FY20 Initial Budget Allocat FTE'!CX$121</f>
        <v>0</v>
      </c>
      <c r="CY22" s="79">
        <v>0</v>
      </c>
      <c r="CZ22" s="79">
        <v>0</v>
      </c>
      <c r="DA22" s="79">
        <v>37800</v>
      </c>
      <c r="DB22" s="79">
        <v>79373.071257344389</v>
      </c>
      <c r="DC22" s="82">
        <v>0</v>
      </c>
      <c r="DD22" s="79">
        <v>0</v>
      </c>
      <c r="DE22" s="79"/>
      <c r="DF22" s="79">
        <v>6400</v>
      </c>
      <c r="DG22" s="79">
        <v>0</v>
      </c>
      <c r="DH22" s="83">
        <v>0</v>
      </c>
      <c r="DI22" s="79">
        <v>13955.413484601471</v>
      </c>
      <c r="DJ22" s="79">
        <v>5275146.2971793562</v>
      </c>
      <c r="DK22" s="84">
        <v>2.8206435963511467E-3</v>
      </c>
      <c r="DL22" s="84">
        <v>0</v>
      </c>
      <c r="DM22" s="84">
        <f t="shared" si="0"/>
        <v>5275146.3</v>
      </c>
      <c r="DN22" s="116">
        <f t="shared" si="1"/>
        <v>10</v>
      </c>
      <c r="DO22" s="116">
        <f t="shared" si="2"/>
        <v>10</v>
      </c>
      <c r="DP22" s="116">
        <f t="shared" si="3"/>
        <v>11.7</v>
      </c>
      <c r="DQ22" s="116">
        <f t="shared" si="4"/>
        <v>5.4545454545454541</v>
      </c>
      <c r="DR22" s="116">
        <f t="shared" si="5"/>
        <v>0</v>
      </c>
    </row>
    <row r="23" spans="1:122" x14ac:dyDescent="0.25">
      <c r="A23" s="76">
        <v>454</v>
      </c>
      <c r="B23" s="76" t="s">
        <v>160</v>
      </c>
      <c r="C23" s="77" t="s">
        <v>161</v>
      </c>
      <c r="D23" s="41">
        <v>1</v>
      </c>
      <c r="E23" s="78">
        <v>757</v>
      </c>
      <c r="F23" s="78">
        <v>629.5346197502837</v>
      </c>
      <c r="G23" s="115">
        <f>'[8]FY20 Initial Budget Allocat (2)'!G23/'FY20 Initial Budget Allocat FTE'!G$121</f>
        <v>1</v>
      </c>
      <c r="H23" s="115">
        <f>'[8]FY20 Initial Budget Allocat (2)'!H23/'FY20 Initial Budget Allocat FTE'!H$121</f>
        <v>1</v>
      </c>
      <c r="I23" s="115">
        <f>'[8]FY20 Initial Budget Allocat (2)'!I23/'FY20 Initial Budget Allocat FTE'!I$121</f>
        <v>2.5</v>
      </c>
      <c r="J23" s="115">
        <f>'[8]FY20 Initial Budget Allocat (2)'!J23/'FY20 Initial Budget Allocat FTE'!J$121</f>
        <v>1</v>
      </c>
      <c r="K23" s="115">
        <f>'[8]FY20 Initial Budget Allocat (2)'!K23/'FY20 Initial Budget Allocat FTE'!K$121</f>
        <v>2.4999914336021911</v>
      </c>
      <c r="L23" s="115">
        <f>'[8]FY20 Initial Budget Allocat (2)'!L23/'FY20 Initial Budget Allocat FTE'!L$121</f>
        <v>1</v>
      </c>
      <c r="M23" s="115">
        <f>'[8]FY20 Initial Budget Allocat (2)'!M23/'FY20 Initial Budget Allocat FTE'!M$121</f>
        <v>1</v>
      </c>
      <c r="N23" s="115">
        <f>'[8]FY20 Initial Budget Allocat (2)'!N23/'FY20 Initial Budget Allocat FTE'!N$121</f>
        <v>1.9</v>
      </c>
      <c r="O23" s="115">
        <f>'[8]FY20 Initial Budget Allocat (2)'!O23/'FY20 Initial Budget Allocat FTE'!O$121</f>
        <v>1</v>
      </c>
      <c r="P23" s="115">
        <f>'[8]FY20 Initial Budget Allocat (2)'!P23/'FY20 Initial Budget Allocat FTE'!P$121</f>
        <v>1</v>
      </c>
      <c r="Q23" s="115">
        <f>'[8]FY20 Initial Budget Allocat (2)'!Q23/'FY20 Initial Budget Allocat FTE'!Q$121</f>
        <v>0</v>
      </c>
      <c r="R23" s="115">
        <f>'[8]FY20 Initial Budget Allocat (2)'!R23/'FY20 Initial Budget Allocat FTE'!R$121</f>
        <v>1</v>
      </c>
      <c r="S23" s="115">
        <f>'[8]FY20 Initial Budget Allocat (2)'!S23/'FY20 Initial Budget Allocat FTE'!S$121</f>
        <v>1</v>
      </c>
      <c r="T23" s="115">
        <f>'[8]FY20 Initial Budget Allocat (2)'!T23/'FY20 Initial Budget Allocat FTE'!T$121</f>
        <v>8</v>
      </c>
      <c r="U23" s="115">
        <f>'[8]FY20 Initial Budget Allocat (2)'!U23/'FY20 Initial Budget Allocat FTE'!U$121</f>
        <v>1</v>
      </c>
      <c r="V23" s="115">
        <f>'[8]FY20 Initial Budget Allocat (2)'!V23/'FY20 Initial Budget Allocat FTE'!V$121</f>
        <v>0</v>
      </c>
      <c r="W23" s="115">
        <f>'[8]FY20 Initial Budget Allocat (2)'!W23/'FY20 Initial Budget Allocat FTE'!W$121</f>
        <v>0</v>
      </c>
      <c r="X23" s="115">
        <f>'[8]FY20 Initial Budget Allocat (2)'!X23/'FY20 Initial Budget Allocat FTE'!X$121</f>
        <v>0</v>
      </c>
      <c r="Y23" s="115">
        <f>'[8]FY20 Initial Budget Allocat (2)'!Y23/'FY20 Initial Budget Allocat FTE'!Y$121</f>
        <v>0</v>
      </c>
      <c r="Z23" s="115">
        <f>'[8]FY20 Initial Budget Allocat (2)'!Z23/'FY20 Initial Budget Allocat FTE'!Z$121</f>
        <v>0</v>
      </c>
      <c r="AA23" s="115">
        <f>'[8]FY20 Initial Budget Allocat (2)'!AA23/'FY20 Initial Budget Allocat FTE'!AA$121</f>
        <v>0</v>
      </c>
      <c r="AB23" s="115">
        <f>'[8]FY20 Initial Budget Allocat (2)'!AB23/'FY20 Initial Budget Allocat FTE'!AB$121</f>
        <v>0</v>
      </c>
      <c r="AC23" s="115">
        <f>'[8]FY20 Initial Budget Allocat (2)'!AC23/'FY20 Initial Budget Allocat FTE'!AC$121</f>
        <v>0</v>
      </c>
      <c r="AD23" s="115">
        <f>'[8]FY20 Initial Budget Allocat (2)'!AD23/'FY20 Initial Budget Allocat FTE'!AD$121</f>
        <v>0</v>
      </c>
      <c r="AE23" s="115">
        <f>'[8]FY20 Initial Budget Allocat (2)'!AE23/'FY20 Initial Budget Allocat FTE'!AE$121</f>
        <v>0</v>
      </c>
      <c r="AF23" s="115">
        <f>'[8]FY20 Initial Budget Allocat (2)'!AF23/'FY20 Initial Budget Allocat FTE'!AF$121</f>
        <v>0</v>
      </c>
      <c r="AG23" s="115">
        <f>'[8]FY20 Initial Budget Allocat (2)'!AG23/'FY20 Initial Budget Allocat FTE'!AG$121</f>
        <v>0</v>
      </c>
      <c r="AH23" s="115">
        <f>'[8]FY20 Initial Budget Allocat (2)'!AH23/'FY20 Initial Budget Allocat FTE'!AH$121</f>
        <v>0</v>
      </c>
      <c r="AI23" s="115">
        <f>'[8]FY20 Initial Budget Allocat (2)'!AI23/'FY20 Initial Budget Allocat FTE'!AI$121</f>
        <v>0</v>
      </c>
      <c r="AJ23" s="115">
        <f>'[8]FY20 Initial Budget Allocat (2)'!AJ23/'FY20 Initial Budget Allocat FTE'!AJ$121</f>
        <v>0</v>
      </c>
      <c r="AK23" s="115">
        <f>'[8]FY20 Initial Budget Allocat (2)'!AK23/'FY20 Initial Budget Allocat FTE'!AK$121</f>
        <v>0</v>
      </c>
      <c r="AL23" s="115">
        <f>'[8]FY20 Initial Budget Allocat (2)'!AL23/'FY20 Initial Budget Allocat FTE'!AL$121</f>
        <v>0</v>
      </c>
      <c r="AM23" s="115">
        <f>'[8]FY20 Initial Budget Allocat (2)'!AM23/'FY20 Initial Budget Allocat FTE'!AM$121</f>
        <v>0</v>
      </c>
      <c r="AN23" s="115">
        <f>'[8]FY20 Initial Budget Allocat (2)'!AN23/'FY20 Initial Budget Allocat FTE'!AN$121</f>
        <v>2.4</v>
      </c>
      <c r="AO23" s="115">
        <f>'[8]FY20 Initial Budget Allocat (2)'!AO23/'FY20 Initial Budget Allocat FTE'!AO$121</f>
        <v>2.7999999999999994</v>
      </c>
      <c r="AP23" s="115">
        <f>'[8]FY20 Initial Budget Allocat (2)'!AP23/'FY20 Initial Budget Allocat FTE'!AP$121</f>
        <v>3.6</v>
      </c>
      <c r="AQ23" s="115">
        <f>'[8]FY20 Initial Budget Allocat (2)'!AQ23/'FY20 Initial Budget Allocat FTE'!AQ$121</f>
        <v>0</v>
      </c>
      <c r="AR23" s="115">
        <f>'[8]FY20 Initial Budget Allocat (2)'!AR23/'FY20 Initial Budget Allocat FTE'!AR$121</f>
        <v>0</v>
      </c>
      <c r="AS23" s="115">
        <f>'[8]FY20 Initial Budget Allocat (2)'!AS23/'FY20 Initial Budget Allocat FTE'!AS$121</f>
        <v>0</v>
      </c>
      <c r="AT23" s="115">
        <f>'[8]FY20 Initial Budget Allocat (2)'!AT23/'FY20 Initial Budget Allocat FTE'!AT$121</f>
        <v>0</v>
      </c>
      <c r="AU23" s="115">
        <f>'[8]FY20 Initial Budget Allocat (2)'!AU23/'FY20 Initial Budget Allocat FTE'!AU$121</f>
        <v>0</v>
      </c>
      <c r="AV23" s="115">
        <f>'[8]FY20 Initial Budget Allocat (2)'!AV23/'FY20 Initial Budget Allocat FTE'!AV$121</f>
        <v>23.474999999999994</v>
      </c>
      <c r="AW23" s="115">
        <f>'[8]FY20 Initial Budget Allocat (2)'!AW23/'FY20 Initial Budget Allocat FTE'!AW$121</f>
        <v>6.0918411774053451</v>
      </c>
      <c r="AX23" s="115">
        <f>'[8]FY20 Initial Budget Allocat (2)'!AX23/'FY20 Initial Budget Allocat FTE'!AX$121</f>
        <v>1</v>
      </c>
      <c r="AY23" s="115">
        <f>'[8]FY20 Initial Budget Allocat (2)'!AY23/'FY20 Initial Budget Allocat FTE'!AY$121</f>
        <v>8</v>
      </c>
      <c r="AZ23" s="115">
        <f>'[8]FY20 Initial Budget Allocat (2)'!AZ23/'FY20 Initial Budget Allocat FTE'!AZ$121</f>
        <v>19</v>
      </c>
      <c r="BA23" s="115">
        <f>'[8]FY20 Initial Budget Allocat (2)'!BA23/'FY20 Initial Budget Allocat FTE'!BA$121</f>
        <v>14</v>
      </c>
      <c r="BB23" s="115">
        <f>'[8]FY20 Initial Budget Allocat (2)'!BB23/'FY20 Initial Budget Allocat FTE'!BB$121</f>
        <v>2</v>
      </c>
      <c r="BC23" s="115">
        <f>'[8]FY20 Initial Budget Allocat (2)'!BC23/'FY20 Initial Budget Allocat FTE'!BC$121</f>
        <v>0</v>
      </c>
      <c r="BD23" s="115">
        <f>'[8]FY20 Initial Budget Allocat (2)'!BD23/'FY20 Initial Budget Allocat FTE'!BD$121</f>
        <v>18</v>
      </c>
      <c r="BE23" s="115">
        <f>'[8]FY20 Initial Budget Allocat (2)'!BE23/'FY20 Initial Budget Allocat FTE'!BE$121</f>
        <v>2</v>
      </c>
      <c r="BF23" s="115">
        <f>'[8]FY20 Initial Budget Allocat (2)'!BF23/'FY20 Initial Budget Allocat FTE'!BF$121</f>
        <v>3.2687911267618093</v>
      </c>
      <c r="BG23" s="115">
        <f>'[8]FY20 Initial Budget Allocat (2)'!BG23/'FY20 Initial Budget Allocat FTE'!BG$121</f>
        <v>0</v>
      </c>
      <c r="BH23" s="115">
        <f>'[8]FY20 Initial Budget Allocat (2)'!BH23/'FY20 Initial Budget Allocat FTE'!BH$121</f>
        <v>0</v>
      </c>
      <c r="BI23" s="115">
        <f>'[8]FY20 Initial Budget Allocat (2)'!BI23/'FY20 Initial Budget Allocat FTE'!BI$121</f>
        <v>0</v>
      </c>
      <c r="BJ23" s="79"/>
      <c r="BK23" s="79">
        <v>70000</v>
      </c>
      <c r="BL23" s="79"/>
      <c r="BM23" s="79">
        <v>374606.64</v>
      </c>
      <c r="BN23" s="79">
        <v>5960.96</v>
      </c>
      <c r="BO23" s="79">
        <v>0</v>
      </c>
      <c r="BP23" s="115">
        <f>'[8]FY20 Initial Budget Allocat (2)'!BP23/'FY20 Initial Budget Allocat FTE'!BP$121</f>
        <v>0</v>
      </c>
      <c r="BQ23" s="115">
        <f>'[8]FY20 Initial Budget Allocat (2)'!BQ23/'FY20 Initial Budget Allocat FTE'!BQ$121</f>
        <v>0</v>
      </c>
      <c r="BR23" s="115">
        <f>'[8]FY20 Initial Budget Allocat (2)'!BR23/'FY20 Initial Budget Allocat FTE'!BR$121</f>
        <v>1</v>
      </c>
      <c r="BS23" s="115">
        <f>'[8]FY20 Initial Budget Allocat (2)'!BS23/'FY20 Initial Budget Allocat FTE'!BS$121</f>
        <v>0</v>
      </c>
      <c r="BT23" s="115">
        <f>'[8]FY20 Initial Budget Allocat (2)'!BT23/'FY20 Initial Budget Allocat FTE'!BT$121</f>
        <v>0</v>
      </c>
      <c r="BU23" s="115">
        <f>'[8]FY20 Initial Budget Allocat (2)'!BU23/'FY20 Initial Budget Allocat FTE'!BU$121</f>
        <v>0</v>
      </c>
      <c r="BV23" s="115">
        <f>'[8]FY20 Initial Budget Allocat (2)'!BV23/'FY20 Initial Budget Allocat FTE'!BV$121</f>
        <v>1</v>
      </c>
      <c r="BW23" s="80">
        <v>20000</v>
      </c>
      <c r="BX23" s="80">
        <v>19000</v>
      </c>
      <c r="BY23" s="80">
        <v>0</v>
      </c>
      <c r="BZ23" s="80">
        <v>0</v>
      </c>
      <c r="CA23" s="115">
        <f>'[8]FY20 Initial Budget Allocat (2)'!CA23/'FY20 Initial Budget Allocat FTE'!CA$121</f>
        <v>0</v>
      </c>
      <c r="CB23" s="115">
        <f>'[8]FY20 Initial Budget Allocat (2)'!CB23/'FY20 Initial Budget Allocat FTE'!CB$121</f>
        <v>0</v>
      </c>
      <c r="CC23" s="80">
        <v>23700</v>
      </c>
      <c r="CD23" s="115">
        <f>'[8]FY20 Initial Budget Allocat (2)'!CD23/'FY20 Initial Budget Allocat FTE'!CD$121</f>
        <v>2</v>
      </c>
      <c r="CE23" s="115">
        <f>'[8]FY20 Initial Budget Allocat (2)'!CE23/'FY20 Initial Budget Allocat FTE'!CE$121</f>
        <v>0</v>
      </c>
      <c r="CF23" s="115">
        <f>'[8]FY20 Initial Budget Allocat (2)'!CF23/'FY20 Initial Budget Allocat FTE'!CF$121</f>
        <v>0</v>
      </c>
      <c r="CG23" s="115">
        <f>'[8]FY20 Initial Budget Allocat (2)'!CG23/'FY20 Initial Budget Allocat FTE'!CG$121</f>
        <v>0</v>
      </c>
      <c r="CH23" s="115">
        <f>'[8]FY20 Initial Budget Allocat (2)'!CH23/'FY20 Initial Budget Allocat FTE'!CH$121</f>
        <v>1</v>
      </c>
      <c r="CI23" s="115">
        <f>'[8]FY20 Initial Budget Allocat (2)'!CI23/'FY20 Initial Budget Allocat FTE'!CI$121</f>
        <v>2</v>
      </c>
      <c r="CJ23" s="115">
        <f>'[8]FY20 Initial Budget Allocat (2)'!CJ23/'FY20 Initial Budget Allocat FTE'!CJ$121</f>
        <v>0</v>
      </c>
      <c r="CK23" s="79">
        <v>23000</v>
      </c>
      <c r="CL23" s="79">
        <v>5000</v>
      </c>
      <c r="CM23" s="79">
        <v>817540.8</v>
      </c>
      <c r="CN23" s="79">
        <v>100000</v>
      </c>
      <c r="CO23" s="115">
        <f>'[8]FY20 Initial Budget Allocat (2)'!CO23/'FY20 Initial Budget Allocat FTE'!CO$121</f>
        <v>1</v>
      </c>
      <c r="CP23" s="79">
        <v>75000</v>
      </c>
      <c r="CQ23" s="79">
        <v>25181.384790011347</v>
      </c>
      <c r="CR23" s="79">
        <v>46440</v>
      </c>
      <c r="CS23" s="79">
        <v>95592.153738317764</v>
      </c>
      <c r="CT23" s="115">
        <f>'[8]FY20 Initial Budget Allocat (2)'!CT23/'FY20 Initial Budget Allocat FTE'!CT$121</f>
        <v>0</v>
      </c>
      <c r="CU23" s="115">
        <f>'[8]FY20 Initial Budget Allocat (2)'!CU23/'FY20 Initial Budget Allocat FTE'!CU$121</f>
        <v>1</v>
      </c>
      <c r="CV23" s="79"/>
      <c r="CW23" s="79">
        <v>0</v>
      </c>
      <c r="CX23" s="115">
        <f>'[8]FY20 Initial Budget Allocat (2)'!CX23/'FY20 Initial Budget Allocat FTE'!CX$121</f>
        <v>0</v>
      </c>
      <c r="CY23" s="79">
        <v>5000</v>
      </c>
      <c r="CZ23" s="91">
        <v>115407</v>
      </c>
      <c r="DA23" s="79">
        <v>75700</v>
      </c>
      <c r="DB23" s="79">
        <v>209883.8977282733</v>
      </c>
      <c r="DC23" s="82">
        <v>0</v>
      </c>
      <c r="DD23" s="79">
        <v>0</v>
      </c>
      <c r="DE23" s="79"/>
      <c r="DF23" s="79">
        <v>77700</v>
      </c>
      <c r="DG23" s="79">
        <v>0</v>
      </c>
      <c r="DH23" s="83">
        <v>0</v>
      </c>
      <c r="DI23" s="79">
        <v>20395.582922398335</v>
      </c>
      <c r="DJ23" s="79">
        <v>15433163.548453493</v>
      </c>
      <c r="DK23" s="84">
        <v>6292.7215465065092</v>
      </c>
      <c r="DL23" s="84">
        <v>0</v>
      </c>
      <c r="DM23" s="84">
        <f t="shared" si="0"/>
        <v>15439456.27</v>
      </c>
      <c r="DN23" s="116">
        <f t="shared" si="1"/>
        <v>0</v>
      </c>
      <c r="DO23" s="116">
        <f t="shared" si="2"/>
        <v>0</v>
      </c>
      <c r="DP23" s="116">
        <f t="shared" si="3"/>
        <v>38.366841177405334</v>
      </c>
      <c r="DQ23" s="116">
        <f t="shared" si="4"/>
        <v>49.268791126761812</v>
      </c>
      <c r="DR23" s="116">
        <f t="shared" si="5"/>
        <v>16</v>
      </c>
    </row>
    <row r="24" spans="1:122" x14ac:dyDescent="0.25">
      <c r="A24" s="76">
        <v>224</v>
      </c>
      <c r="B24" s="76" t="s">
        <v>162</v>
      </c>
      <c r="C24" s="77" t="s">
        <v>135</v>
      </c>
      <c r="D24" s="41">
        <v>1</v>
      </c>
      <c r="E24" s="78">
        <v>300</v>
      </c>
      <c r="F24" s="78">
        <v>154.45871559633025</v>
      </c>
      <c r="G24" s="115">
        <f>'[8]FY20 Initial Budget Allocat (2)'!G24/'FY20 Initial Budget Allocat FTE'!G$121</f>
        <v>1</v>
      </c>
      <c r="H24" s="115">
        <f>'[8]FY20 Initial Budget Allocat (2)'!H24/'FY20 Initial Budget Allocat FTE'!H$121</f>
        <v>1</v>
      </c>
      <c r="I24" s="115">
        <f>'[8]FY20 Initial Budget Allocat (2)'!I24/'FY20 Initial Budget Allocat FTE'!I$121</f>
        <v>0.8</v>
      </c>
      <c r="J24" s="115">
        <f>'[8]FY20 Initial Budget Allocat (2)'!J24/'FY20 Initial Budget Allocat FTE'!J$121</f>
        <v>0</v>
      </c>
      <c r="K24" s="115">
        <f>'[8]FY20 Initial Budget Allocat (2)'!K24/'FY20 Initial Budget Allocat FTE'!K$121</f>
        <v>0</v>
      </c>
      <c r="L24" s="115">
        <f>'[8]FY20 Initial Budget Allocat (2)'!L24/'FY20 Initial Budget Allocat FTE'!L$121</f>
        <v>1</v>
      </c>
      <c r="M24" s="115">
        <f>'[8]FY20 Initial Budget Allocat (2)'!M24/'FY20 Initial Budget Allocat FTE'!M$121</f>
        <v>1</v>
      </c>
      <c r="N24" s="115">
        <f>'[8]FY20 Initial Budget Allocat (2)'!N24/'FY20 Initial Budget Allocat FTE'!N$121</f>
        <v>0</v>
      </c>
      <c r="O24" s="115">
        <f>'[8]FY20 Initial Budget Allocat (2)'!O24/'FY20 Initial Budget Allocat FTE'!O$121</f>
        <v>0</v>
      </c>
      <c r="P24" s="115">
        <f>'[8]FY20 Initial Budget Allocat (2)'!P24/'FY20 Initial Budget Allocat FTE'!P$121</f>
        <v>0</v>
      </c>
      <c r="Q24" s="115">
        <f>'[8]FY20 Initial Budget Allocat (2)'!Q24/'FY20 Initial Budget Allocat FTE'!Q$121</f>
        <v>0</v>
      </c>
      <c r="R24" s="115">
        <f>'[8]FY20 Initial Budget Allocat (2)'!R24/'FY20 Initial Budget Allocat FTE'!R$121</f>
        <v>1</v>
      </c>
      <c r="S24" s="115">
        <f>'[8]FY20 Initial Budget Allocat (2)'!S24/'FY20 Initial Budget Allocat FTE'!S$121</f>
        <v>1</v>
      </c>
      <c r="T24" s="115">
        <f>'[8]FY20 Initial Budget Allocat (2)'!T24/'FY20 Initial Budget Allocat FTE'!T$121</f>
        <v>1</v>
      </c>
      <c r="U24" s="115">
        <f>'[8]FY20 Initial Budget Allocat (2)'!U24/'FY20 Initial Budget Allocat FTE'!U$121</f>
        <v>1</v>
      </c>
      <c r="V24" s="115">
        <f>'[8]FY20 Initial Budget Allocat (2)'!V24/'FY20 Initial Budget Allocat FTE'!V$121</f>
        <v>1</v>
      </c>
      <c r="W24" s="115">
        <f>'[8]FY20 Initial Budget Allocat (2)'!W24/'FY20 Initial Budget Allocat FTE'!W$121</f>
        <v>1</v>
      </c>
      <c r="X24" s="115">
        <f>'[8]FY20 Initial Budget Allocat (2)'!X24/'FY20 Initial Budget Allocat FTE'!X$121</f>
        <v>1</v>
      </c>
      <c r="Y24" s="115">
        <f>'[8]FY20 Initial Budget Allocat (2)'!Y24/'FY20 Initial Budget Allocat FTE'!Y$121</f>
        <v>4.5343756564623952E-15</v>
      </c>
      <c r="Z24" s="115">
        <f>'[8]FY20 Initial Budget Allocat (2)'!Z24/'FY20 Initial Budget Allocat FTE'!Z$121</f>
        <v>1.5000000000000002</v>
      </c>
      <c r="AA24" s="115">
        <f>'[8]FY20 Initial Budget Allocat (2)'!AA24/'FY20 Initial Budget Allocat FTE'!AA$121</f>
        <v>2</v>
      </c>
      <c r="AB24" s="115">
        <f>'[8]FY20 Initial Budget Allocat (2)'!AB24/'FY20 Initial Budget Allocat FTE'!AB$121</f>
        <v>2</v>
      </c>
      <c r="AC24" s="115">
        <f>'[8]FY20 Initial Budget Allocat (2)'!AC24/'FY20 Initial Budget Allocat FTE'!AC$121</f>
        <v>1</v>
      </c>
      <c r="AD24" s="115">
        <f>'[8]FY20 Initial Budget Allocat (2)'!AD24/'FY20 Initial Budget Allocat FTE'!AD$121</f>
        <v>2</v>
      </c>
      <c r="AE24" s="115">
        <f>'[8]FY20 Initial Budget Allocat (2)'!AE24/'FY20 Initial Budget Allocat FTE'!AE$121</f>
        <v>2</v>
      </c>
      <c r="AF24" s="115">
        <f>'[8]FY20 Initial Budget Allocat (2)'!AF24/'FY20 Initial Budget Allocat FTE'!AF$121</f>
        <v>2</v>
      </c>
      <c r="AG24" s="115">
        <f>'[8]FY20 Initial Budget Allocat (2)'!AG24/'FY20 Initial Budget Allocat FTE'!AG$121</f>
        <v>2</v>
      </c>
      <c r="AH24" s="115">
        <f>'[8]FY20 Initial Budget Allocat (2)'!AH24/'FY20 Initial Budget Allocat FTE'!AH$121</f>
        <v>2</v>
      </c>
      <c r="AI24" s="115">
        <f>'[8]FY20 Initial Budget Allocat (2)'!AI24/'FY20 Initial Budget Allocat FTE'!AI$121</f>
        <v>2</v>
      </c>
      <c r="AJ24" s="115">
        <f>'[8]FY20 Initial Budget Allocat (2)'!AJ24/'FY20 Initial Budget Allocat FTE'!AJ$121</f>
        <v>2</v>
      </c>
      <c r="AK24" s="115">
        <f>'[8]FY20 Initial Budget Allocat (2)'!AK24/'FY20 Initial Budget Allocat FTE'!AK$121</f>
        <v>2</v>
      </c>
      <c r="AL24" s="115">
        <f>'[8]FY20 Initial Budget Allocat (2)'!AL24/'FY20 Initial Budget Allocat FTE'!AL$121</f>
        <v>2</v>
      </c>
      <c r="AM24" s="115">
        <f>'[8]FY20 Initial Budget Allocat (2)'!AM24/'FY20 Initial Budget Allocat FTE'!AM$121</f>
        <v>2</v>
      </c>
      <c r="AN24" s="115">
        <f>'[8]FY20 Initial Budget Allocat (2)'!AN24/'FY20 Initial Budget Allocat FTE'!AN$121</f>
        <v>0</v>
      </c>
      <c r="AO24" s="115">
        <f>'[8]FY20 Initial Budget Allocat (2)'!AO24/'FY20 Initial Budget Allocat FTE'!AO$121</f>
        <v>0</v>
      </c>
      <c r="AP24" s="115">
        <f>'[8]FY20 Initial Budget Allocat (2)'!AP24/'FY20 Initial Budget Allocat FTE'!AP$121</f>
        <v>0</v>
      </c>
      <c r="AQ24" s="115">
        <f>'[8]FY20 Initial Budget Allocat (2)'!AQ24/'FY20 Initial Budget Allocat FTE'!AQ$121</f>
        <v>0</v>
      </c>
      <c r="AR24" s="115">
        <f>'[8]FY20 Initial Budget Allocat (2)'!AR24/'FY20 Initial Budget Allocat FTE'!AR$121</f>
        <v>0</v>
      </c>
      <c r="AS24" s="115">
        <f>'[8]FY20 Initial Budget Allocat (2)'!AS24/'FY20 Initial Budget Allocat FTE'!AS$121</f>
        <v>0</v>
      </c>
      <c r="AT24" s="115">
        <f>'[8]FY20 Initial Budget Allocat (2)'!AT24/'FY20 Initial Budget Allocat FTE'!AT$121</f>
        <v>0</v>
      </c>
      <c r="AU24" s="115">
        <f>'[8]FY20 Initial Budget Allocat (2)'!AU24/'FY20 Initial Budget Allocat FTE'!AU$121</f>
        <v>0</v>
      </c>
      <c r="AV24" s="115">
        <f>'[8]FY20 Initial Budget Allocat (2)'!AV24/'FY20 Initial Budget Allocat FTE'!AV$121</f>
        <v>0</v>
      </c>
      <c r="AW24" s="115">
        <f>'[8]FY20 Initial Budget Allocat (2)'!AW24/'FY20 Initial Budget Allocat FTE'!AW$121</f>
        <v>0</v>
      </c>
      <c r="AX24" s="115">
        <f>'[8]FY20 Initial Budget Allocat (2)'!AX24/'FY20 Initial Budget Allocat FTE'!AX$121</f>
        <v>0.5</v>
      </c>
      <c r="AY24" s="115">
        <f>'[8]FY20 Initial Budget Allocat (2)'!AY24/'FY20 Initial Budget Allocat FTE'!AY$121</f>
        <v>2</v>
      </c>
      <c r="AZ24" s="115">
        <f>'[8]FY20 Initial Budget Allocat (2)'!AZ24/'FY20 Initial Budget Allocat FTE'!AZ$121</f>
        <v>4</v>
      </c>
      <c r="BA24" s="115">
        <f>'[8]FY20 Initial Budget Allocat (2)'!BA24/'FY20 Initial Budget Allocat FTE'!BA$121</f>
        <v>1</v>
      </c>
      <c r="BB24" s="115">
        <f>'[8]FY20 Initial Budget Allocat (2)'!BB24/'FY20 Initial Budget Allocat FTE'!BB$121</f>
        <v>1</v>
      </c>
      <c r="BC24" s="115">
        <f>'[8]FY20 Initial Budget Allocat (2)'!BC24/'FY20 Initial Budget Allocat FTE'!BC$121</f>
        <v>0</v>
      </c>
      <c r="BD24" s="115">
        <f>'[8]FY20 Initial Budget Allocat (2)'!BD24/'FY20 Initial Budget Allocat FTE'!BD$121</f>
        <v>3.0000000000000004</v>
      </c>
      <c r="BE24" s="115">
        <f>'[8]FY20 Initial Budget Allocat (2)'!BE24/'FY20 Initial Budget Allocat FTE'!BE$121</f>
        <v>0</v>
      </c>
      <c r="BF24" s="115">
        <f>'[8]FY20 Initial Budget Allocat (2)'!BF24/'FY20 Initial Budget Allocat FTE'!BF$121</f>
        <v>0</v>
      </c>
      <c r="BG24" s="115">
        <f>'[8]FY20 Initial Budget Allocat (2)'!BG24/'FY20 Initial Budget Allocat FTE'!BG$121</f>
        <v>2.1252589375208819</v>
      </c>
      <c r="BH24" s="115">
        <f>'[8]FY20 Initial Budget Allocat (2)'!BH24/'FY20 Initial Budget Allocat FTE'!BH$121</f>
        <v>6</v>
      </c>
      <c r="BI24" s="115">
        <f>'[8]FY20 Initial Budget Allocat (2)'!BI24/'FY20 Initial Budget Allocat FTE'!BI$121</f>
        <v>1</v>
      </c>
      <c r="BJ24" s="79"/>
      <c r="BK24" s="79">
        <v>0</v>
      </c>
      <c r="BL24" s="79">
        <v>23194.2</v>
      </c>
      <c r="BM24" s="79">
        <v>150698.35999999999</v>
      </c>
      <c r="BN24" s="79">
        <v>2398</v>
      </c>
      <c r="BO24" s="79">
        <v>0</v>
      </c>
      <c r="BP24" s="115">
        <f>'[8]FY20 Initial Budget Allocat (2)'!BP24/'FY20 Initial Budget Allocat FTE'!BP$121</f>
        <v>0</v>
      </c>
      <c r="BQ24" s="115">
        <f>'[8]FY20 Initial Budget Allocat (2)'!BQ24/'FY20 Initial Budget Allocat FTE'!BQ$121</f>
        <v>0</v>
      </c>
      <c r="BR24" s="115">
        <f>'[8]FY20 Initial Budget Allocat (2)'!BR24/'FY20 Initial Budget Allocat FTE'!BR$121</f>
        <v>0</v>
      </c>
      <c r="BS24" s="115">
        <f>'[8]FY20 Initial Budget Allocat (2)'!BS24/'FY20 Initial Budget Allocat FTE'!BS$121</f>
        <v>0</v>
      </c>
      <c r="BT24" s="115">
        <f>'[8]FY20 Initial Budget Allocat (2)'!BT24/'FY20 Initial Budget Allocat FTE'!BT$121</f>
        <v>0</v>
      </c>
      <c r="BU24" s="115">
        <f>'[8]FY20 Initial Budget Allocat (2)'!BU24/'FY20 Initial Budget Allocat FTE'!BU$121</f>
        <v>0</v>
      </c>
      <c r="BV24" s="115">
        <f>'[8]FY20 Initial Budget Allocat (2)'!BV24/'FY20 Initial Budget Allocat FTE'!BV$121</f>
        <v>0</v>
      </c>
      <c r="BW24" s="80">
        <v>0</v>
      </c>
      <c r="BX24" s="80">
        <v>0</v>
      </c>
      <c r="BY24" s="80">
        <v>0</v>
      </c>
      <c r="BZ24" s="80">
        <v>0</v>
      </c>
      <c r="CA24" s="115">
        <f>'[8]FY20 Initial Budget Allocat (2)'!CA24/'FY20 Initial Budget Allocat FTE'!CA$121</f>
        <v>0</v>
      </c>
      <c r="CB24" s="115">
        <f>'[8]FY20 Initial Budget Allocat (2)'!CB24/'FY20 Initial Budget Allocat FTE'!CB$121</f>
        <v>0</v>
      </c>
      <c r="CC24" s="80">
        <v>0</v>
      </c>
      <c r="CD24" s="115">
        <f>'[8]FY20 Initial Budget Allocat (2)'!CD24/'FY20 Initial Budget Allocat FTE'!CD$121</f>
        <v>0</v>
      </c>
      <c r="CE24" s="115">
        <f>'[8]FY20 Initial Budget Allocat (2)'!CE24/'FY20 Initial Budget Allocat FTE'!CE$121</f>
        <v>0</v>
      </c>
      <c r="CF24" s="115">
        <f>'[8]FY20 Initial Budget Allocat (2)'!CF24/'FY20 Initial Budget Allocat FTE'!CF$121</f>
        <v>0</v>
      </c>
      <c r="CG24" s="115">
        <f>'[8]FY20 Initial Budget Allocat (2)'!CG24/'FY20 Initial Budget Allocat FTE'!CG$121</f>
        <v>0</v>
      </c>
      <c r="CH24" s="115">
        <f>'[8]FY20 Initial Budget Allocat (2)'!CH24/'FY20 Initial Budget Allocat FTE'!CH$121</f>
        <v>0</v>
      </c>
      <c r="CI24" s="115">
        <f>'[8]FY20 Initial Budget Allocat (2)'!CI24/'FY20 Initial Budget Allocat FTE'!CI$121</f>
        <v>0</v>
      </c>
      <c r="CJ24" s="115">
        <f>'[8]FY20 Initial Budget Allocat (2)'!CJ24/'FY20 Initial Budget Allocat FTE'!CJ$121</f>
        <v>0</v>
      </c>
      <c r="CK24" s="79">
        <v>0</v>
      </c>
      <c r="CL24" s="79">
        <v>0</v>
      </c>
      <c r="CM24" s="79">
        <v>54082.8</v>
      </c>
      <c r="CN24" s="79">
        <v>0</v>
      </c>
      <c r="CO24" s="115">
        <f>'[8]FY20 Initial Budget Allocat (2)'!CO24/'FY20 Initial Budget Allocat FTE'!CO$121</f>
        <v>0</v>
      </c>
      <c r="CP24" s="79">
        <v>0</v>
      </c>
      <c r="CQ24" s="79">
        <v>3089.1743119266048</v>
      </c>
      <c r="CR24" s="79">
        <v>0</v>
      </c>
      <c r="CS24" s="79">
        <v>17390.375</v>
      </c>
      <c r="CT24" s="115">
        <f>'[8]FY20 Initial Budget Allocat (2)'!CT24/'FY20 Initial Budget Allocat FTE'!CT$121</f>
        <v>0</v>
      </c>
      <c r="CU24" s="115">
        <f>'[8]FY20 Initial Budget Allocat (2)'!CU24/'FY20 Initial Budget Allocat FTE'!CU$121</f>
        <v>0</v>
      </c>
      <c r="CV24" s="79"/>
      <c r="CW24" s="79">
        <v>0</v>
      </c>
      <c r="CX24" s="115">
        <f>'[8]FY20 Initial Budget Allocat (2)'!CX24/'FY20 Initial Budget Allocat FTE'!CX$121</f>
        <v>0</v>
      </c>
      <c r="CY24" s="79">
        <v>0</v>
      </c>
      <c r="CZ24" s="79">
        <v>0</v>
      </c>
      <c r="DA24" s="79">
        <v>30000</v>
      </c>
      <c r="DB24" s="79">
        <v>73380.780951269626</v>
      </c>
      <c r="DC24" s="82">
        <v>0</v>
      </c>
      <c r="DD24" s="79">
        <v>0</v>
      </c>
      <c r="DE24" s="79"/>
      <c r="DF24" s="79">
        <v>8800</v>
      </c>
      <c r="DG24" s="79">
        <v>0</v>
      </c>
      <c r="DH24" s="83">
        <v>0</v>
      </c>
      <c r="DI24" s="79">
        <v>16579.913239028381</v>
      </c>
      <c r="DJ24" s="79">
        <v>4973973.9717085147</v>
      </c>
      <c r="DK24" s="84">
        <v>34403.028291485272</v>
      </c>
      <c r="DL24" s="84">
        <v>0</v>
      </c>
      <c r="DM24" s="84">
        <f t="shared" si="0"/>
        <v>5008377</v>
      </c>
      <c r="DN24" s="116">
        <f t="shared" si="1"/>
        <v>7</v>
      </c>
      <c r="DO24" s="116">
        <f t="shared" si="2"/>
        <v>8</v>
      </c>
      <c r="DP24" s="116">
        <f t="shared" si="3"/>
        <v>10</v>
      </c>
      <c r="DQ24" s="116">
        <f t="shared" si="4"/>
        <v>9.5</v>
      </c>
      <c r="DR24" s="116">
        <f t="shared" si="5"/>
        <v>1</v>
      </c>
    </row>
    <row r="25" spans="1:122" x14ac:dyDescent="0.25">
      <c r="A25" s="76">
        <v>442</v>
      </c>
      <c r="B25" s="76" t="s">
        <v>163</v>
      </c>
      <c r="C25" s="77" t="s">
        <v>161</v>
      </c>
      <c r="D25" s="41">
        <v>1</v>
      </c>
      <c r="E25" s="78">
        <v>1372</v>
      </c>
      <c r="F25" s="78">
        <v>890.5532523230878</v>
      </c>
      <c r="G25" s="115">
        <f>'[8]FY20 Initial Budget Allocat (2)'!G25/'FY20 Initial Budget Allocat FTE'!G$121</f>
        <v>1</v>
      </c>
      <c r="H25" s="115">
        <f>'[8]FY20 Initial Budget Allocat (2)'!H25/'FY20 Initial Budget Allocat FTE'!H$121</f>
        <v>1</v>
      </c>
      <c r="I25" s="115">
        <f>'[8]FY20 Initial Budget Allocat (2)'!I25/'FY20 Initial Budget Allocat FTE'!I$121</f>
        <v>4.5999999999999996</v>
      </c>
      <c r="J25" s="115">
        <f>'[8]FY20 Initial Budget Allocat (2)'!J25/'FY20 Initial Budget Allocat FTE'!J$121</f>
        <v>1</v>
      </c>
      <c r="K25" s="115">
        <f>'[8]FY20 Initial Budget Allocat (2)'!K25/'FY20 Initial Budget Allocat FTE'!K$121</f>
        <v>3.9999862937635053</v>
      </c>
      <c r="L25" s="115">
        <f>'[8]FY20 Initial Budget Allocat (2)'!L25/'FY20 Initial Budget Allocat FTE'!L$121</f>
        <v>1</v>
      </c>
      <c r="M25" s="115">
        <f>'[8]FY20 Initial Budget Allocat (2)'!M25/'FY20 Initial Budget Allocat FTE'!M$121</f>
        <v>1</v>
      </c>
      <c r="N25" s="115">
        <f>'[8]FY20 Initial Budget Allocat (2)'!N25/'FY20 Initial Budget Allocat FTE'!N$121</f>
        <v>3.4</v>
      </c>
      <c r="O25" s="115">
        <f>'[8]FY20 Initial Budget Allocat (2)'!O25/'FY20 Initial Budget Allocat FTE'!O$121</f>
        <v>1</v>
      </c>
      <c r="P25" s="115">
        <f>'[8]FY20 Initial Budget Allocat (2)'!P25/'FY20 Initial Budget Allocat FTE'!P$121</f>
        <v>1</v>
      </c>
      <c r="Q25" s="115">
        <f>'[8]FY20 Initial Budget Allocat (2)'!Q25/'FY20 Initial Budget Allocat FTE'!Q$121</f>
        <v>0</v>
      </c>
      <c r="R25" s="115">
        <f>'[8]FY20 Initial Budget Allocat (2)'!R25/'FY20 Initial Budget Allocat FTE'!R$121</f>
        <v>1</v>
      </c>
      <c r="S25" s="115">
        <f>'[8]FY20 Initial Budget Allocat (2)'!S25/'FY20 Initial Budget Allocat FTE'!S$121</f>
        <v>1</v>
      </c>
      <c r="T25" s="115">
        <f>'[8]FY20 Initial Budget Allocat (2)'!T25/'FY20 Initial Budget Allocat FTE'!T$121</f>
        <v>9</v>
      </c>
      <c r="U25" s="115">
        <f>'[8]FY20 Initial Budget Allocat (2)'!U25/'FY20 Initial Budget Allocat FTE'!U$121</f>
        <v>1</v>
      </c>
      <c r="V25" s="115">
        <f>'[8]FY20 Initial Budget Allocat (2)'!V25/'FY20 Initial Budget Allocat FTE'!V$121</f>
        <v>0</v>
      </c>
      <c r="W25" s="115">
        <f>'[8]FY20 Initial Budget Allocat (2)'!W25/'FY20 Initial Budget Allocat FTE'!W$121</f>
        <v>0</v>
      </c>
      <c r="X25" s="115">
        <f>'[8]FY20 Initial Budget Allocat (2)'!X25/'FY20 Initial Budget Allocat FTE'!X$121</f>
        <v>0</v>
      </c>
      <c r="Y25" s="115">
        <f>'[8]FY20 Initial Budget Allocat (2)'!Y25/'FY20 Initial Budget Allocat FTE'!Y$121</f>
        <v>0</v>
      </c>
      <c r="Z25" s="115">
        <f>'[8]FY20 Initial Budget Allocat (2)'!Z25/'FY20 Initial Budget Allocat FTE'!Z$121</f>
        <v>0</v>
      </c>
      <c r="AA25" s="115">
        <f>'[8]FY20 Initial Budget Allocat (2)'!AA25/'FY20 Initial Budget Allocat FTE'!AA$121</f>
        <v>0</v>
      </c>
      <c r="AB25" s="115">
        <f>'[8]FY20 Initial Budget Allocat (2)'!AB25/'FY20 Initial Budget Allocat FTE'!AB$121</f>
        <v>0</v>
      </c>
      <c r="AC25" s="115">
        <f>'[8]FY20 Initial Budget Allocat (2)'!AC25/'FY20 Initial Budget Allocat FTE'!AC$121</f>
        <v>0</v>
      </c>
      <c r="AD25" s="115">
        <f>'[8]FY20 Initial Budget Allocat (2)'!AD25/'FY20 Initial Budget Allocat FTE'!AD$121</f>
        <v>0</v>
      </c>
      <c r="AE25" s="115">
        <f>'[8]FY20 Initial Budget Allocat (2)'!AE25/'FY20 Initial Budget Allocat FTE'!AE$121</f>
        <v>0</v>
      </c>
      <c r="AF25" s="115">
        <f>'[8]FY20 Initial Budget Allocat (2)'!AF25/'FY20 Initial Budget Allocat FTE'!AF$121</f>
        <v>0</v>
      </c>
      <c r="AG25" s="115">
        <f>'[8]FY20 Initial Budget Allocat (2)'!AG25/'FY20 Initial Budget Allocat FTE'!AG$121</f>
        <v>0</v>
      </c>
      <c r="AH25" s="115">
        <f>'[8]FY20 Initial Budget Allocat (2)'!AH25/'FY20 Initial Budget Allocat FTE'!AH$121</f>
        <v>0</v>
      </c>
      <c r="AI25" s="115">
        <f>'[8]FY20 Initial Budget Allocat (2)'!AI25/'FY20 Initial Budget Allocat FTE'!AI$121</f>
        <v>0</v>
      </c>
      <c r="AJ25" s="115">
        <f>'[8]FY20 Initial Budget Allocat (2)'!AJ25/'FY20 Initial Budget Allocat FTE'!AJ$121</f>
        <v>0</v>
      </c>
      <c r="AK25" s="115">
        <f>'[8]FY20 Initial Budget Allocat (2)'!AK25/'FY20 Initial Budget Allocat FTE'!AK$121</f>
        <v>0</v>
      </c>
      <c r="AL25" s="115">
        <f>'[8]FY20 Initial Budget Allocat (2)'!AL25/'FY20 Initial Budget Allocat FTE'!AL$121</f>
        <v>0</v>
      </c>
      <c r="AM25" s="115">
        <f>'[8]FY20 Initial Budget Allocat (2)'!AM25/'FY20 Initial Budget Allocat FTE'!AM$121</f>
        <v>0</v>
      </c>
      <c r="AN25" s="115">
        <f>'[8]FY20 Initial Budget Allocat (2)'!AN25/'FY20 Initial Budget Allocat FTE'!AN$121</f>
        <v>6.0000000000000009</v>
      </c>
      <c r="AO25" s="115">
        <f>'[8]FY20 Initial Budget Allocat (2)'!AO25/'FY20 Initial Budget Allocat FTE'!AO$121</f>
        <v>7.1</v>
      </c>
      <c r="AP25" s="115">
        <f>'[8]FY20 Initial Budget Allocat (2)'!AP25/'FY20 Initial Budget Allocat FTE'!AP$121</f>
        <v>5.7999999999999989</v>
      </c>
      <c r="AQ25" s="115">
        <f>'[8]FY20 Initial Budget Allocat (2)'!AQ25/'FY20 Initial Budget Allocat FTE'!AQ$121</f>
        <v>12.500000000000002</v>
      </c>
      <c r="AR25" s="115">
        <f>'[8]FY20 Initial Budget Allocat (2)'!AR25/'FY20 Initial Budget Allocat FTE'!AR$121</f>
        <v>11.499999999999998</v>
      </c>
      <c r="AS25" s="115">
        <f>'[8]FY20 Initial Budget Allocat (2)'!AS25/'FY20 Initial Budget Allocat FTE'!AS$121</f>
        <v>7.7</v>
      </c>
      <c r="AT25" s="115">
        <f>'[8]FY20 Initial Budget Allocat (2)'!AT25/'FY20 Initial Budget Allocat FTE'!AT$121</f>
        <v>8.1</v>
      </c>
      <c r="AU25" s="115">
        <f>'[8]FY20 Initial Budget Allocat (2)'!AU25/'FY20 Initial Budget Allocat FTE'!AU$121</f>
        <v>0</v>
      </c>
      <c r="AV25" s="115">
        <f>'[8]FY20 Initial Budget Allocat (2)'!AV25/'FY20 Initial Budget Allocat FTE'!AV$121</f>
        <v>0</v>
      </c>
      <c r="AW25" s="115">
        <f>'[8]FY20 Initial Budget Allocat (2)'!AW25/'FY20 Initial Budget Allocat FTE'!AW$121</f>
        <v>0</v>
      </c>
      <c r="AX25" s="115">
        <f>'[8]FY20 Initial Budget Allocat (2)'!AX25/'FY20 Initial Budget Allocat FTE'!AX$121</f>
        <v>1</v>
      </c>
      <c r="AY25" s="115">
        <f>'[8]FY20 Initial Budget Allocat (2)'!AY25/'FY20 Initial Budget Allocat FTE'!AY$121</f>
        <v>4</v>
      </c>
      <c r="AZ25" s="115">
        <f>'[8]FY20 Initial Budget Allocat (2)'!AZ25/'FY20 Initial Budget Allocat FTE'!AZ$121</f>
        <v>14</v>
      </c>
      <c r="BA25" s="115">
        <f>'[8]FY20 Initial Budget Allocat (2)'!BA25/'FY20 Initial Budget Allocat FTE'!BA$121</f>
        <v>2</v>
      </c>
      <c r="BB25" s="115">
        <f>'[8]FY20 Initial Budget Allocat (2)'!BB25/'FY20 Initial Budget Allocat FTE'!BB$121</f>
        <v>0</v>
      </c>
      <c r="BC25" s="115">
        <f>'[8]FY20 Initial Budget Allocat (2)'!BC25/'FY20 Initial Budget Allocat FTE'!BC$121</f>
        <v>0</v>
      </c>
      <c r="BD25" s="115">
        <f>'[8]FY20 Initial Budget Allocat (2)'!BD25/'FY20 Initial Budget Allocat FTE'!BD$121</f>
        <v>22</v>
      </c>
      <c r="BE25" s="115">
        <f>'[8]FY20 Initial Budget Allocat (2)'!BE25/'FY20 Initial Budget Allocat FTE'!BE$121</f>
        <v>2</v>
      </c>
      <c r="BF25" s="115">
        <f>'[8]FY20 Initial Budget Allocat (2)'!BF25/'FY20 Initial Budget Allocat FTE'!BF$121</f>
        <v>4.3583881690157451</v>
      </c>
      <c r="BG25" s="115">
        <f>'[8]FY20 Initial Budget Allocat (2)'!BG25/'FY20 Initial Budget Allocat FTE'!BG$121</f>
        <v>0</v>
      </c>
      <c r="BH25" s="115">
        <f>'[8]FY20 Initial Budget Allocat (2)'!BH25/'FY20 Initial Budget Allocat FTE'!BH$121</f>
        <v>0</v>
      </c>
      <c r="BI25" s="115">
        <f>'[8]FY20 Initial Budget Allocat (2)'!BI25/'FY20 Initial Budget Allocat FTE'!BI$121</f>
        <v>0</v>
      </c>
      <c r="BJ25" s="79"/>
      <c r="BK25" s="79">
        <v>85000</v>
      </c>
      <c r="BL25" s="79"/>
      <c r="BM25" s="79">
        <v>410080.26</v>
      </c>
      <c r="BN25" s="79">
        <v>6525.44</v>
      </c>
      <c r="BO25" s="79">
        <v>0</v>
      </c>
      <c r="BP25" s="115">
        <f>'[8]FY20 Initial Budget Allocat (2)'!BP25/'FY20 Initial Budget Allocat FTE'!BP$121</f>
        <v>0</v>
      </c>
      <c r="BQ25" s="115">
        <f>'[8]FY20 Initial Budget Allocat (2)'!BQ25/'FY20 Initial Budget Allocat FTE'!BQ$121</f>
        <v>0</v>
      </c>
      <c r="BR25" s="115">
        <f>'[8]FY20 Initial Budget Allocat (2)'!BR25/'FY20 Initial Budget Allocat FTE'!BR$121</f>
        <v>0</v>
      </c>
      <c r="BS25" s="115">
        <f>'[8]FY20 Initial Budget Allocat (2)'!BS25/'FY20 Initial Budget Allocat FTE'!BS$121</f>
        <v>0</v>
      </c>
      <c r="BT25" s="115">
        <f>'[8]FY20 Initial Budget Allocat (2)'!BT25/'FY20 Initial Budget Allocat FTE'!BT$121</f>
        <v>0</v>
      </c>
      <c r="BU25" s="115">
        <f>'[8]FY20 Initial Budget Allocat (2)'!BU25/'FY20 Initial Budget Allocat FTE'!BU$121</f>
        <v>0</v>
      </c>
      <c r="BV25" s="115">
        <f>'[8]FY20 Initial Budget Allocat (2)'!BV25/'FY20 Initial Budget Allocat FTE'!BV$121</f>
        <v>0</v>
      </c>
      <c r="BW25" s="80">
        <v>0</v>
      </c>
      <c r="BX25" s="80">
        <v>0</v>
      </c>
      <c r="BY25" s="80">
        <v>0</v>
      </c>
      <c r="BZ25" s="80">
        <v>45000</v>
      </c>
      <c r="CA25" s="115">
        <f>'[8]FY20 Initial Budget Allocat (2)'!CA25/'FY20 Initial Budget Allocat FTE'!CA$121</f>
        <v>0</v>
      </c>
      <c r="CB25" s="115">
        <f>'[8]FY20 Initial Budget Allocat (2)'!CB25/'FY20 Initial Budget Allocat FTE'!CB$121</f>
        <v>0</v>
      </c>
      <c r="CC25" s="80">
        <v>23700</v>
      </c>
      <c r="CD25" s="115">
        <f>'[8]FY20 Initial Budget Allocat (2)'!CD25/'FY20 Initial Budget Allocat FTE'!CD$121</f>
        <v>2</v>
      </c>
      <c r="CE25" s="115">
        <f>'[8]FY20 Initial Budget Allocat (2)'!CE25/'FY20 Initial Budget Allocat FTE'!CE$121</f>
        <v>0</v>
      </c>
      <c r="CF25" s="115">
        <f>'[8]FY20 Initial Budget Allocat (2)'!CF25/'FY20 Initial Budget Allocat FTE'!CF$121</f>
        <v>1</v>
      </c>
      <c r="CG25" s="115">
        <f>'[8]FY20 Initial Budget Allocat (2)'!CG25/'FY20 Initial Budget Allocat FTE'!CG$121</f>
        <v>1</v>
      </c>
      <c r="CH25" s="115">
        <f>'[8]FY20 Initial Budget Allocat (2)'!CH25/'FY20 Initial Budget Allocat FTE'!CH$121</f>
        <v>0</v>
      </c>
      <c r="CI25" s="115">
        <f>'[8]FY20 Initial Budget Allocat (2)'!CI25/'FY20 Initial Budget Allocat FTE'!CI$121</f>
        <v>3.0000000000000004</v>
      </c>
      <c r="CJ25" s="115">
        <f>'[8]FY20 Initial Budget Allocat (2)'!CJ25/'FY20 Initial Budget Allocat FTE'!CJ$121</f>
        <v>0</v>
      </c>
      <c r="CK25" s="79">
        <v>23000</v>
      </c>
      <c r="CL25" s="79">
        <v>5000</v>
      </c>
      <c r="CM25" s="79">
        <v>749937.3</v>
      </c>
      <c r="CN25" s="79">
        <v>100000</v>
      </c>
      <c r="CO25" s="115">
        <f>'[8]FY20 Initial Budget Allocat (2)'!CO25/'FY20 Initial Budget Allocat FTE'!CO$121</f>
        <v>1</v>
      </c>
      <c r="CP25" s="79">
        <v>0</v>
      </c>
      <c r="CQ25" s="79">
        <v>17811.065046461757</v>
      </c>
      <c r="CR25" s="79">
        <v>316080</v>
      </c>
      <c r="CS25" s="79">
        <v>158284.08620000002</v>
      </c>
      <c r="CT25" s="115">
        <f>'[8]FY20 Initial Budget Allocat (2)'!CT25/'FY20 Initial Budget Allocat FTE'!CT$121</f>
        <v>0</v>
      </c>
      <c r="CU25" s="115">
        <f>'[8]FY20 Initial Budget Allocat (2)'!CU25/'FY20 Initial Budget Allocat FTE'!CU$121</f>
        <v>1</v>
      </c>
      <c r="CV25" s="79"/>
      <c r="CW25" s="79">
        <v>0</v>
      </c>
      <c r="CX25" s="115">
        <f>'[8]FY20 Initial Budget Allocat (2)'!CX25/'FY20 Initial Budget Allocat FTE'!CX$121</f>
        <v>0</v>
      </c>
      <c r="CY25" s="79">
        <v>0</v>
      </c>
      <c r="CZ25" s="79">
        <v>0</v>
      </c>
      <c r="DA25" s="79">
        <v>137200</v>
      </c>
      <c r="DB25" s="79">
        <v>242105.1659473399</v>
      </c>
      <c r="DC25" s="82">
        <v>0</v>
      </c>
      <c r="DD25" s="79">
        <v>360000</v>
      </c>
      <c r="DE25" s="79"/>
      <c r="DF25" s="79">
        <v>71100</v>
      </c>
      <c r="DG25" s="79">
        <v>0</v>
      </c>
      <c r="DH25" s="83">
        <v>0</v>
      </c>
      <c r="DI25" s="79">
        <v>12991.151666753736</v>
      </c>
      <c r="DJ25" s="79">
        <v>17823860.086786129</v>
      </c>
      <c r="DK25" s="84">
        <v>218228.91321387142</v>
      </c>
      <c r="DL25" s="84">
        <v>0</v>
      </c>
      <c r="DM25" s="84">
        <f t="shared" si="0"/>
        <v>18042089</v>
      </c>
      <c r="DN25" s="116">
        <f t="shared" si="1"/>
        <v>0</v>
      </c>
      <c r="DO25" s="116">
        <f t="shared" si="2"/>
        <v>0</v>
      </c>
      <c r="DP25" s="116">
        <f t="shared" si="3"/>
        <v>58.7</v>
      </c>
      <c r="DQ25" s="116">
        <f t="shared" si="4"/>
        <v>45.358388169015747</v>
      </c>
      <c r="DR25" s="116">
        <f t="shared" si="5"/>
        <v>4</v>
      </c>
    </row>
    <row r="26" spans="1:122" x14ac:dyDescent="0.25">
      <c r="A26" s="76">
        <v>455</v>
      </c>
      <c r="B26" s="76" t="s">
        <v>164</v>
      </c>
      <c r="C26" s="77" t="s">
        <v>138</v>
      </c>
      <c r="D26" s="41">
        <v>4</v>
      </c>
      <c r="E26" s="78">
        <v>400</v>
      </c>
      <c r="F26" s="78">
        <v>339.51912568306011</v>
      </c>
      <c r="G26" s="115">
        <f>'[8]FY20 Initial Budget Allocat (2)'!G26/'FY20 Initial Budget Allocat FTE'!G$121</f>
        <v>1</v>
      </c>
      <c r="H26" s="115">
        <f>'[8]FY20 Initial Budget Allocat (2)'!H26/'FY20 Initial Budget Allocat FTE'!H$121</f>
        <v>1</v>
      </c>
      <c r="I26" s="115">
        <f>'[8]FY20 Initial Budget Allocat (2)'!I26/'FY20 Initial Budget Allocat FTE'!I$121</f>
        <v>1.3</v>
      </c>
      <c r="J26" s="115">
        <f>'[8]FY20 Initial Budget Allocat (2)'!J26/'FY20 Initial Budget Allocat FTE'!J$121</f>
        <v>0</v>
      </c>
      <c r="K26" s="115">
        <f>'[8]FY20 Initial Budget Allocat (2)'!K26/'FY20 Initial Budget Allocat FTE'!K$121</f>
        <v>1.9999931468817527</v>
      </c>
      <c r="L26" s="115">
        <f>'[8]FY20 Initial Budget Allocat (2)'!L26/'FY20 Initial Budget Allocat FTE'!L$121</f>
        <v>1</v>
      </c>
      <c r="M26" s="115">
        <f>'[8]FY20 Initial Budget Allocat (2)'!M26/'FY20 Initial Budget Allocat FTE'!M$121</f>
        <v>1</v>
      </c>
      <c r="N26" s="115">
        <f>'[8]FY20 Initial Budget Allocat (2)'!N26/'FY20 Initial Budget Allocat FTE'!N$121</f>
        <v>1</v>
      </c>
      <c r="O26" s="115">
        <f>'[8]FY20 Initial Budget Allocat (2)'!O26/'FY20 Initial Budget Allocat FTE'!O$121</f>
        <v>1</v>
      </c>
      <c r="P26" s="115">
        <f>'[8]FY20 Initial Budget Allocat (2)'!P26/'FY20 Initial Budget Allocat FTE'!P$121</f>
        <v>1</v>
      </c>
      <c r="Q26" s="115">
        <f>'[8]FY20 Initial Budget Allocat (2)'!Q26/'FY20 Initial Budget Allocat FTE'!Q$121</f>
        <v>0</v>
      </c>
      <c r="R26" s="115">
        <f>'[8]FY20 Initial Budget Allocat (2)'!R26/'FY20 Initial Budget Allocat FTE'!R$121</f>
        <v>1</v>
      </c>
      <c r="S26" s="115">
        <f>'[8]FY20 Initial Budget Allocat (2)'!S26/'FY20 Initial Budget Allocat FTE'!S$121</f>
        <v>1</v>
      </c>
      <c r="T26" s="115">
        <f>'[8]FY20 Initial Budget Allocat (2)'!T26/'FY20 Initial Budget Allocat FTE'!T$121</f>
        <v>6</v>
      </c>
      <c r="U26" s="115">
        <f>'[8]FY20 Initial Budget Allocat (2)'!U26/'FY20 Initial Budget Allocat FTE'!U$121</f>
        <v>1</v>
      </c>
      <c r="V26" s="115">
        <f>'[8]FY20 Initial Budget Allocat (2)'!V26/'FY20 Initial Budget Allocat FTE'!V$121</f>
        <v>0</v>
      </c>
      <c r="W26" s="115">
        <f>'[8]FY20 Initial Budget Allocat (2)'!W26/'FY20 Initial Budget Allocat FTE'!W$121</f>
        <v>0</v>
      </c>
      <c r="X26" s="115">
        <f>'[8]FY20 Initial Budget Allocat (2)'!X26/'FY20 Initial Budget Allocat FTE'!X$121</f>
        <v>0</v>
      </c>
      <c r="Y26" s="115">
        <f>'[8]FY20 Initial Budget Allocat (2)'!Y26/'FY20 Initial Budget Allocat FTE'!Y$121</f>
        <v>0</v>
      </c>
      <c r="Z26" s="115">
        <f>'[8]FY20 Initial Budget Allocat (2)'!Z26/'FY20 Initial Budget Allocat FTE'!Z$121</f>
        <v>0</v>
      </c>
      <c r="AA26" s="115">
        <f>'[8]FY20 Initial Budget Allocat (2)'!AA26/'FY20 Initial Budget Allocat FTE'!AA$121</f>
        <v>0</v>
      </c>
      <c r="AB26" s="115">
        <f>'[8]FY20 Initial Budget Allocat (2)'!AB26/'FY20 Initial Budget Allocat FTE'!AB$121</f>
        <v>0</v>
      </c>
      <c r="AC26" s="115">
        <f>'[8]FY20 Initial Budget Allocat (2)'!AC26/'FY20 Initial Budget Allocat FTE'!AC$121</f>
        <v>0</v>
      </c>
      <c r="AD26" s="115">
        <f>'[8]FY20 Initial Budget Allocat (2)'!AD26/'FY20 Initial Budget Allocat FTE'!AD$121</f>
        <v>0</v>
      </c>
      <c r="AE26" s="115">
        <f>'[8]FY20 Initial Budget Allocat (2)'!AE26/'FY20 Initial Budget Allocat FTE'!AE$121</f>
        <v>0</v>
      </c>
      <c r="AF26" s="115">
        <f>'[8]FY20 Initial Budget Allocat (2)'!AF26/'FY20 Initial Budget Allocat FTE'!AF$121</f>
        <v>0</v>
      </c>
      <c r="AG26" s="115">
        <f>'[8]FY20 Initial Budget Allocat (2)'!AG26/'FY20 Initial Budget Allocat FTE'!AG$121</f>
        <v>0</v>
      </c>
      <c r="AH26" s="115">
        <f>'[8]FY20 Initial Budget Allocat (2)'!AH26/'FY20 Initial Budget Allocat FTE'!AH$121</f>
        <v>0</v>
      </c>
      <c r="AI26" s="115">
        <f>'[8]FY20 Initial Budget Allocat (2)'!AI26/'FY20 Initial Budget Allocat FTE'!AI$121</f>
        <v>0</v>
      </c>
      <c r="AJ26" s="115">
        <f>'[8]FY20 Initial Budget Allocat (2)'!AJ26/'FY20 Initial Budget Allocat FTE'!AJ$121</f>
        <v>0</v>
      </c>
      <c r="AK26" s="115">
        <f>'[8]FY20 Initial Budget Allocat (2)'!AK26/'FY20 Initial Budget Allocat FTE'!AK$121</f>
        <v>0</v>
      </c>
      <c r="AL26" s="115">
        <f>'[8]FY20 Initial Budget Allocat (2)'!AL26/'FY20 Initial Budget Allocat FTE'!AL$121</f>
        <v>0</v>
      </c>
      <c r="AM26" s="115">
        <f>'[8]FY20 Initial Budget Allocat (2)'!AM26/'FY20 Initial Budget Allocat FTE'!AM$121</f>
        <v>0</v>
      </c>
      <c r="AN26" s="115">
        <f>'[8]FY20 Initial Budget Allocat (2)'!AN26/'FY20 Initial Budget Allocat FTE'!AN$121</f>
        <v>0</v>
      </c>
      <c r="AO26" s="115">
        <f>'[8]FY20 Initial Budget Allocat (2)'!AO26/'FY20 Initial Budget Allocat FTE'!AO$121</f>
        <v>0</v>
      </c>
      <c r="AP26" s="115">
        <f>'[8]FY20 Initial Budget Allocat (2)'!AP26/'FY20 Initial Budget Allocat FTE'!AP$121</f>
        <v>0</v>
      </c>
      <c r="AQ26" s="115">
        <f>'[8]FY20 Initial Budget Allocat (2)'!AQ26/'FY20 Initial Budget Allocat FTE'!AQ$121</f>
        <v>0</v>
      </c>
      <c r="AR26" s="115">
        <f>'[8]FY20 Initial Budget Allocat (2)'!AR26/'FY20 Initial Budget Allocat FTE'!AR$121</f>
        <v>0</v>
      </c>
      <c r="AS26" s="115">
        <f>'[8]FY20 Initial Budget Allocat (2)'!AS26/'FY20 Initial Budget Allocat FTE'!AS$121</f>
        <v>0</v>
      </c>
      <c r="AT26" s="115">
        <f>'[8]FY20 Initial Budget Allocat (2)'!AT26/'FY20 Initial Budget Allocat FTE'!AT$121</f>
        <v>0</v>
      </c>
      <c r="AU26" s="115">
        <f>'[8]FY20 Initial Budget Allocat (2)'!AU26/'FY20 Initial Budget Allocat FTE'!AU$121</f>
        <v>0</v>
      </c>
      <c r="AV26" s="115">
        <f>'[8]FY20 Initial Budget Allocat (2)'!AV26/'FY20 Initial Budget Allocat FTE'!AV$121</f>
        <v>16.666666666666668</v>
      </c>
      <c r="AW26" s="115">
        <f>'[8]FY20 Initial Budget Allocat (2)'!AW26/'FY20 Initial Budget Allocat FTE'!AW$121</f>
        <v>9.9827251898796199</v>
      </c>
      <c r="AX26" s="115">
        <f>'[8]FY20 Initial Budget Allocat (2)'!AX26/'FY20 Initial Budget Allocat FTE'!AX$121</f>
        <v>1</v>
      </c>
      <c r="AY26" s="115">
        <f>'[8]FY20 Initial Budget Allocat (2)'!AY26/'FY20 Initial Budget Allocat FTE'!AY$121</f>
        <v>3.0000000000000004</v>
      </c>
      <c r="AZ26" s="115">
        <f>'[8]FY20 Initial Budget Allocat (2)'!AZ26/'FY20 Initial Budget Allocat FTE'!AZ$121</f>
        <v>9</v>
      </c>
      <c r="BA26" s="115">
        <f>'[8]FY20 Initial Budget Allocat (2)'!BA26/'FY20 Initial Budget Allocat FTE'!BA$121</f>
        <v>5</v>
      </c>
      <c r="BB26" s="115">
        <f>'[8]FY20 Initial Budget Allocat (2)'!BB26/'FY20 Initial Budget Allocat FTE'!BB$121</f>
        <v>2</v>
      </c>
      <c r="BC26" s="115">
        <f>'[8]FY20 Initial Budget Allocat (2)'!BC26/'FY20 Initial Budget Allocat FTE'!BC$121</f>
        <v>0</v>
      </c>
      <c r="BD26" s="115">
        <f>'[8]FY20 Initial Budget Allocat (2)'!BD26/'FY20 Initial Budget Allocat FTE'!BD$121</f>
        <v>4</v>
      </c>
      <c r="BE26" s="115">
        <f>'[8]FY20 Initial Budget Allocat (2)'!BE26/'FY20 Initial Budget Allocat FTE'!BE$121</f>
        <v>0</v>
      </c>
      <c r="BF26" s="115">
        <f>'[8]FY20 Initial Budget Allocat (2)'!BF26/'FY20 Initial Budget Allocat FTE'!BF$121</f>
        <v>0</v>
      </c>
      <c r="BG26" s="115">
        <f>'[8]FY20 Initial Budget Allocat (2)'!BG26/'FY20 Initial Budget Allocat FTE'!BG$121</f>
        <v>0</v>
      </c>
      <c r="BH26" s="115">
        <f>'[8]FY20 Initial Budget Allocat (2)'!BH26/'FY20 Initial Budget Allocat FTE'!BH$121</f>
        <v>0</v>
      </c>
      <c r="BI26" s="115">
        <f>'[8]FY20 Initial Budget Allocat (2)'!BI26/'FY20 Initial Budget Allocat FTE'!BI$121</f>
        <v>0</v>
      </c>
      <c r="BJ26" s="79"/>
      <c r="BK26" s="79">
        <v>70000</v>
      </c>
      <c r="BL26" s="79"/>
      <c r="BM26" s="79">
        <v>147370.63</v>
      </c>
      <c r="BN26" s="79">
        <v>2345.0500000000002</v>
      </c>
      <c r="BO26" s="79">
        <v>0</v>
      </c>
      <c r="BP26" s="115">
        <f>'[8]FY20 Initial Budget Allocat (2)'!BP26/'FY20 Initial Budget Allocat FTE'!BP$121</f>
        <v>0</v>
      </c>
      <c r="BQ26" s="115">
        <f>'[8]FY20 Initial Budget Allocat (2)'!BQ26/'FY20 Initial Budget Allocat FTE'!BQ$121</f>
        <v>0</v>
      </c>
      <c r="BR26" s="115">
        <f>'[8]FY20 Initial Budget Allocat (2)'!BR26/'FY20 Initial Budget Allocat FTE'!BR$121</f>
        <v>0</v>
      </c>
      <c r="BS26" s="115">
        <f>'[8]FY20 Initial Budget Allocat (2)'!BS26/'FY20 Initial Budget Allocat FTE'!BS$121</f>
        <v>0</v>
      </c>
      <c r="BT26" s="115">
        <f>'[8]FY20 Initial Budget Allocat (2)'!BT26/'FY20 Initial Budget Allocat FTE'!BT$121</f>
        <v>0</v>
      </c>
      <c r="BU26" s="115">
        <f>'[8]FY20 Initial Budget Allocat (2)'!BU26/'FY20 Initial Budget Allocat FTE'!BU$121</f>
        <v>0</v>
      </c>
      <c r="BV26" s="115">
        <f>'[8]FY20 Initial Budget Allocat (2)'!BV26/'FY20 Initial Budget Allocat FTE'!BV$121</f>
        <v>1</v>
      </c>
      <c r="BW26" s="80">
        <v>20000</v>
      </c>
      <c r="BX26" s="80">
        <v>19000</v>
      </c>
      <c r="BY26" s="80">
        <v>0</v>
      </c>
      <c r="BZ26" s="80">
        <v>45000</v>
      </c>
      <c r="CA26" s="115">
        <f>'[8]FY20 Initial Budget Allocat (2)'!CA26/'FY20 Initial Budget Allocat FTE'!CA$121</f>
        <v>0</v>
      </c>
      <c r="CB26" s="115">
        <f>'[8]FY20 Initial Budget Allocat (2)'!CB26/'FY20 Initial Budget Allocat FTE'!CB$121</f>
        <v>0</v>
      </c>
      <c r="CC26" s="80">
        <v>23700</v>
      </c>
      <c r="CD26" s="115">
        <f>'[8]FY20 Initial Budget Allocat (2)'!CD26/'FY20 Initial Budget Allocat FTE'!CD$121</f>
        <v>2</v>
      </c>
      <c r="CE26" s="115">
        <f>'[8]FY20 Initial Budget Allocat (2)'!CE26/'FY20 Initial Budget Allocat FTE'!CE$121</f>
        <v>0</v>
      </c>
      <c r="CF26" s="115">
        <f>'[8]FY20 Initial Budget Allocat (2)'!CF26/'FY20 Initial Budget Allocat FTE'!CF$121</f>
        <v>3</v>
      </c>
      <c r="CG26" s="115">
        <f>'[8]FY20 Initial Budget Allocat (2)'!CG26/'FY20 Initial Budget Allocat FTE'!CG$121</f>
        <v>1</v>
      </c>
      <c r="CH26" s="115">
        <f>'[8]FY20 Initial Budget Allocat (2)'!CH26/'FY20 Initial Budget Allocat FTE'!CH$121</f>
        <v>0</v>
      </c>
      <c r="CI26" s="115">
        <f>'[8]FY20 Initial Budget Allocat (2)'!CI26/'FY20 Initial Budget Allocat FTE'!CI$121</f>
        <v>0</v>
      </c>
      <c r="CJ26" s="115">
        <f>'[8]FY20 Initial Budget Allocat (2)'!CJ26/'FY20 Initial Budget Allocat FTE'!CJ$121</f>
        <v>0</v>
      </c>
      <c r="CK26" s="79">
        <v>0</v>
      </c>
      <c r="CL26" s="79">
        <v>0</v>
      </c>
      <c r="CM26" s="79">
        <v>362651.6</v>
      </c>
      <c r="CN26" s="79">
        <v>0</v>
      </c>
      <c r="CO26" s="115">
        <f>'[8]FY20 Initial Budget Allocat (2)'!CO26/'FY20 Initial Budget Allocat FTE'!CO$121</f>
        <v>1</v>
      </c>
      <c r="CP26" s="79">
        <v>75000</v>
      </c>
      <c r="CQ26" s="79">
        <v>13580.765027322404</v>
      </c>
      <c r="CR26" s="79">
        <v>0</v>
      </c>
      <c r="CS26" s="79">
        <v>54630.570135746602</v>
      </c>
      <c r="CT26" s="115">
        <f>'[8]FY20 Initial Budget Allocat (2)'!CT26/'FY20 Initial Budget Allocat FTE'!CT$121</f>
        <v>0</v>
      </c>
      <c r="CU26" s="115">
        <f>'[8]FY20 Initial Budget Allocat (2)'!CU26/'FY20 Initial Budget Allocat FTE'!CU$121</f>
        <v>1</v>
      </c>
      <c r="CV26" s="79"/>
      <c r="CW26" s="79">
        <v>0</v>
      </c>
      <c r="CX26" s="115">
        <f>'[8]FY20 Initial Budget Allocat (2)'!CX26/'FY20 Initial Budget Allocat FTE'!CX$121</f>
        <v>0</v>
      </c>
      <c r="CY26" s="79">
        <v>0</v>
      </c>
      <c r="CZ26" s="79">
        <v>0</v>
      </c>
      <c r="DA26" s="79">
        <v>40000</v>
      </c>
      <c r="DB26" s="79">
        <v>108981.0627326227</v>
      </c>
      <c r="DC26" s="82">
        <v>0</v>
      </c>
      <c r="DD26" s="79">
        <v>0</v>
      </c>
      <c r="DE26" s="79"/>
      <c r="DF26" s="79">
        <v>15900</v>
      </c>
      <c r="DG26" s="79">
        <v>157864.82809897215</v>
      </c>
      <c r="DH26" s="83">
        <v>0</v>
      </c>
      <c r="DI26" s="79">
        <v>21932.887991584059</v>
      </c>
      <c r="DJ26" s="79">
        <v>8773155.1966336258</v>
      </c>
      <c r="DK26" s="84">
        <v>118890.80336637422</v>
      </c>
      <c r="DL26" s="84">
        <v>0</v>
      </c>
      <c r="DM26" s="84">
        <f t="shared" si="0"/>
        <v>8892046</v>
      </c>
      <c r="DN26" s="116">
        <f t="shared" si="1"/>
        <v>0</v>
      </c>
      <c r="DO26" s="116">
        <f t="shared" si="2"/>
        <v>0</v>
      </c>
      <c r="DP26" s="116">
        <f t="shared" si="3"/>
        <v>26.649391856546288</v>
      </c>
      <c r="DQ26" s="116">
        <f t="shared" si="4"/>
        <v>17</v>
      </c>
      <c r="DR26" s="116">
        <f t="shared" si="5"/>
        <v>5</v>
      </c>
    </row>
    <row r="27" spans="1:122" x14ac:dyDescent="0.25">
      <c r="A27" s="76">
        <v>405</v>
      </c>
      <c r="B27" s="76" t="s">
        <v>165</v>
      </c>
      <c r="C27" s="77" t="s">
        <v>152</v>
      </c>
      <c r="D27" s="41">
        <v>3</v>
      </c>
      <c r="E27" s="78">
        <v>1530</v>
      </c>
      <c r="F27" s="78">
        <v>137.84856396866843</v>
      </c>
      <c r="G27" s="115">
        <f>'[8]FY20 Initial Budget Allocat (2)'!G27/'FY20 Initial Budget Allocat FTE'!G$121</f>
        <v>1</v>
      </c>
      <c r="H27" s="115">
        <f>'[8]FY20 Initial Budget Allocat (2)'!H27/'FY20 Initial Budget Allocat FTE'!H$121</f>
        <v>1</v>
      </c>
      <c r="I27" s="115">
        <f>'[8]FY20 Initial Budget Allocat (2)'!I27/'FY20 Initial Budget Allocat FTE'!I$121</f>
        <v>5.0999999999999996</v>
      </c>
      <c r="J27" s="115">
        <f>'[8]FY20 Initial Budget Allocat (2)'!J27/'FY20 Initial Budget Allocat FTE'!J$121</f>
        <v>3.8</v>
      </c>
      <c r="K27" s="115">
        <f>'[8]FY20 Initial Budget Allocat (2)'!K27/'FY20 Initial Budget Allocat FTE'!K$121</f>
        <v>0</v>
      </c>
      <c r="L27" s="115">
        <f>'[8]FY20 Initial Budget Allocat (2)'!L27/'FY20 Initial Budget Allocat FTE'!L$121</f>
        <v>1</v>
      </c>
      <c r="M27" s="115">
        <f>'[8]FY20 Initial Budget Allocat (2)'!M27/'FY20 Initial Budget Allocat FTE'!M$121</f>
        <v>1</v>
      </c>
      <c r="N27" s="115">
        <f>'[8]FY20 Initial Budget Allocat (2)'!N27/'FY20 Initial Budget Allocat FTE'!N$121</f>
        <v>3.8</v>
      </c>
      <c r="O27" s="115">
        <f>'[8]FY20 Initial Budget Allocat (2)'!O27/'FY20 Initial Budget Allocat FTE'!O$121</f>
        <v>0</v>
      </c>
      <c r="P27" s="115">
        <f>'[8]FY20 Initial Budget Allocat (2)'!P27/'FY20 Initial Budget Allocat FTE'!P$121</f>
        <v>0</v>
      </c>
      <c r="Q27" s="115">
        <f>'[8]FY20 Initial Budget Allocat (2)'!Q27/'FY20 Initial Budget Allocat FTE'!Q$121</f>
        <v>0</v>
      </c>
      <c r="R27" s="115">
        <f>'[8]FY20 Initial Budget Allocat (2)'!R27/'FY20 Initial Budget Allocat FTE'!R$121</f>
        <v>1</v>
      </c>
      <c r="S27" s="115">
        <f>'[8]FY20 Initial Budget Allocat (2)'!S27/'FY20 Initial Budget Allocat FTE'!S$121</f>
        <v>1</v>
      </c>
      <c r="T27" s="115">
        <f>'[8]FY20 Initial Budget Allocat (2)'!T27/'FY20 Initial Budget Allocat FTE'!T$121</f>
        <v>6</v>
      </c>
      <c r="U27" s="115">
        <f>'[8]FY20 Initial Budget Allocat (2)'!U27/'FY20 Initial Budget Allocat FTE'!U$121</f>
        <v>1</v>
      </c>
      <c r="V27" s="115">
        <f>'[8]FY20 Initial Budget Allocat (2)'!V27/'FY20 Initial Budget Allocat FTE'!V$121</f>
        <v>0</v>
      </c>
      <c r="W27" s="115">
        <f>'[8]FY20 Initial Budget Allocat (2)'!W27/'FY20 Initial Budget Allocat FTE'!W$121</f>
        <v>0</v>
      </c>
      <c r="X27" s="115">
        <f>'[8]FY20 Initial Budget Allocat (2)'!X27/'FY20 Initial Budget Allocat FTE'!X$121</f>
        <v>0</v>
      </c>
      <c r="Y27" s="115">
        <f>'[8]FY20 Initial Budget Allocat (2)'!Y27/'FY20 Initial Budget Allocat FTE'!Y$121</f>
        <v>0</v>
      </c>
      <c r="Z27" s="115">
        <f>'[8]FY20 Initial Budget Allocat (2)'!Z27/'FY20 Initial Budget Allocat FTE'!Z$121</f>
        <v>0</v>
      </c>
      <c r="AA27" s="115">
        <f>'[8]FY20 Initial Budget Allocat (2)'!AA27/'FY20 Initial Budget Allocat FTE'!AA$121</f>
        <v>0</v>
      </c>
      <c r="AB27" s="115">
        <f>'[8]FY20 Initial Budget Allocat (2)'!AB27/'FY20 Initial Budget Allocat FTE'!AB$121</f>
        <v>0</v>
      </c>
      <c r="AC27" s="115">
        <f>'[8]FY20 Initial Budget Allocat (2)'!AC27/'FY20 Initial Budget Allocat FTE'!AC$121</f>
        <v>0</v>
      </c>
      <c r="AD27" s="115">
        <f>'[8]FY20 Initial Budget Allocat (2)'!AD27/'FY20 Initial Budget Allocat FTE'!AD$121</f>
        <v>0</v>
      </c>
      <c r="AE27" s="115">
        <f>'[8]FY20 Initial Budget Allocat (2)'!AE27/'FY20 Initial Budget Allocat FTE'!AE$121</f>
        <v>0</v>
      </c>
      <c r="AF27" s="115">
        <f>'[8]FY20 Initial Budget Allocat (2)'!AF27/'FY20 Initial Budget Allocat FTE'!AF$121</f>
        <v>0</v>
      </c>
      <c r="AG27" s="115">
        <f>'[8]FY20 Initial Budget Allocat (2)'!AG27/'FY20 Initial Budget Allocat FTE'!AG$121</f>
        <v>0</v>
      </c>
      <c r="AH27" s="115">
        <f>'[8]FY20 Initial Budget Allocat (2)'!AH27/'FY20 Initial Budget Allocat FTE'!AH$121</f>
        <v>0</v>
      </c>
      <c r="AI27" s="115">
        <f>'[8]FY20 Initial Budget Allocat (2)'!AI27/'FY20 Initial Budget Allocat FTE'!AI$121</f>
        <v>0</v>
      </c>
      <c r="AJ27" s="115">
        <f>'[8]FY20 Initial Budget Allocat (2)'!AJ27/'FY20 Initial Budget Allocat FTE'!AJ$121</f>
        <v>0</v>
      </c>
      <c r="AK27" s="115">
        <f>'[8]FY20 Initial Budget Allocat (2)'!AK27/'FY20 Initial Budget Allocat FTE'!AK$121</f>
        <v>0</v>
      </c>
      <c r="AL27" s="115">
        <f>'[8]FY20 Initial Budget Allocat (2)'!AL27/'FY20 Initial Budget Allocat FTE'!AL$121</f>
        <v>0</v>
      </c>
      <c r="AM27" s="115">
        <f>'[8]FY20 Initial Budget Allocat (2)'!AM27/'FY20 Initial Budget Allocat FTE'!AM$121</f>
        <v>0</v>
      </c>
      <c r="AN27" s="115">
        <f>'[8]FY20 Initial Budget Allocat (2)'!AN27/'FY20 Initial Budget Allocat FTE'!AN$121</f>
        <v>23.7</v>
      </c>
      <c r="AO27" s="115">
        <f>'[8]FY20 Initial Budget Allocat (2)'!AO27/'FY20 Initial Budget Allocat FTE'!AO$121</f>
        <v>22.9</v>
      </c>
      <c r="AP27" s="115">
        <f>'[8]FY20 Initial Budget Allocat (2)'!AP27/'FY20 Initial Budget Allocat FTE'!AP$121</f>
        <v>22.9</v>
      </c>
      <c r="AQ27" s="115">
        <f>'[8]FY20 Initial Budget Allocat (2)'!AQ27/'FY20 Initial Budget Allocat FTE'!AQ$121</f>
        <v>0</v>
      </c>
      <c r="AR27" s="115">
        <f>'[8]FY20 Initial Budget Allocat (2)'!AR27/'FY20 Initial Budget Allocat FTE'!AR$121</f>
        <v>0</v>
      </c>
      <c r="AS27" s="115">
        <f>'[8]FY20 Initial Budget Allocat (2)'!AS27/'FY20 Initial Budget Allocat FTE'!AS$121</f>
        <v>0</v>
      </c>
      <c r="AT27" s="115">
        <f>'[8]FY20 Initial Budget Allocat (2)'!AT27/'FY20 Initial Budget Allocat FTE'!AT$121</f>
        <v>0</v>
      </c>
      <c r="AU27" s="115">
        <f>'[8]FY20 Initial Budget Allocat (2)'!AU27/'FY20 Initial Budget Allocat FTE'!AU$121</f>
        <v>0</v>
      </c>
      <c r="AV27" s="115">
        <f>'[8]FY20 Initial Budget Allocat (2)'!AV27/'FY20 Initial Budget Allocat FTE'!AV$121</f>
        <v>0</v>
      </c>
      <c r="AW27" s="115">
        <f>'[8]FY20 Initial Budget Allocat (2)'!AW27/'FY20 Initial Budget Allocat FTE'!AW$121</f>
        <v>0</v>
      </c>
      <c r="AX27" s="115">
        <f>'[8]FY20 Initial Budget Allocat (2)'!AX27/'FY20 Initial Budget Allocat FTE'!AX$121</f>
        <v>1</v>
      </c>
      <c r="AY27" s="115">
        <f>'[8]FY20 Initial Budget Allocat (2)'!AY27/'FY20 Initial Budget Allocat FTE'!AY$121</f>
        <v>3.5</v>
      </c>
      <c r="AZ27" s="115">
        <f>'[8]FY20 Initial Budget Allocat (2)'!AZ27/'FY20 Initial Budget Allocat FTE'!AZ$121</f>
        <v>13</v>
      </c>
      <c r="BA27" s="115">
        <f>'[8]FY20 Initial Budget Allocat (2)'!BA27/'FY20 Initial Budget Allocat FTE'!BA$121</f>
        <v>3</v>
      </c>
      <c r="BB27" s="115">
        <f>'[8]FY20 Initial Budget Allocat (2)'!BB27/'FY20 Initial Budget Allocat FTE'!BB$121</f>
        <v>0</v>
      </c>
      <c r="BC27" s="115">
        <f>'[8]FY20 Initial Budget Allocat (2)'!BC27/'FY20 Initial Budget Allocat FTE'!BC$121</f>
        <v>1</v>
      </c>
      <c r="BD27" s="115">
        <f>'[8]FY20 Initial Budget Allocat (2)'!BD27/'FY20 Initial Budget Allocat FTE'!BD$121</f>
        <v>3.0000000000000004</v>
      </c>
      <c r="BE27" s="115">
        <f>'[8]FY20 Initial Budget Allocat (2)'!BE27/'FY20 Initial Budget Allocat FTE'!BE$121</f>
        <v>0</v>
      </c>
      <c r="BF27" s="115">
        <f>'[8]FY20 Initial Budget Allocat (2)'!BF27/'FY20 Initial Budget Allocat FTE'!BF$121</f>
        <v>0</v>
      </c>
      <c r="BG27" s="115">
        <f>'[8]FY20 Initial Budget Allocat (2)'!BG27/'FY20 Initial Budget Allocat FTE'!BG$121</f>
        <v>0</v>
      </c>
      <c r="BH27" s="115">
        <f>'[8]FY20 Initial Budget Allocat (2)'!BH27/'FY20 Initial Budget Allocat FTE'!BH$121</f>
        <v>0</v>
      </c>
      <c r="BI27" s="115">
        <f>'[8]FY20 Initial Budget Allocat (2)'!BI27/'FY20 Initial Budget Allocat FTE'!BI$121</f>
        <v>0</v>
      </c>
      <c r="BJ27" s="79"/>
      <c r="BK27" s="79">
        <v>0</v>
      </c>
      <c r="BL27" s="79"/>
      <c r="BM27" s="79">
        <v>0</v>
      </c>
      <c r="BN27" s="79">
        <v>0</v>
      </c>
      <c r="BO27" s="79">
        <v>36850</v>
      </c>
      <c r="BP27" s="115">
        <f>'[8]FY20 Initial Budget Allocat (2)'!BP27/'FY20 Initial Budget Allocat FTE'!BP$121</f>
        <v>1</v>
      </c>
      <c r="BQ27" s="115">
        <f>'[8]FY20 Initial Budget Allocat (2)'!BQ27/'FY20 Initial Budget Allocat FTE'!BQ$121</f>
        <v>0</v>
      </c>
      <c r="BR27" s="115">
        <f>'[8]FY20 Initial Budget Allocat (2)'!BR27/'FY20 Initial Budget Allocat FTE'!BR$121</f>
        <v>0</v>
      </c>
      <c r="BS27" s="115">
        <f>'[8]FY20 Initial Budget Allocat (2)'!BS27/'FY20 Initial Budget Allocat FTE'!BS$121</f>
        <v>0</v>
      </c>
      <c r="BT27" s="115">
        <f>'[8]FY20 Initial Budget Allocat (2)'!BT27/'FY20 Initial Budget Allocat FTE'!BT$121</f>
        <v>0</v>
      </c>
      <c r="BU27" s="115">
        <f>'[8]FY20 Initial Budget Allocat (2)'!BU27/'FY20 Initial Budget Allocat FTE'!BU$121</f>
        <v>0</v>
      </c>
      <c r="BV27" s="115">
        <f>'[8]FY20 Initial Budget Allocat (2)'!BV27/'FY20 Initial Budget Allocat FTE'!BV$121</f>
        <v>0</v>
      </c>
      <c r="BW27" s="80">
        <v>0</v>
      </c>
      <c r="BX27" s="80">
        <v>0</v>
      </c>
      <c r="BY27" s="80">
        <v>0</v>
      </c>
      <c r="BZ27" s="80">
        <v>0</v>
      </c>
      <c r="CA27" s="115">
        <f>'[8]FY20 Initial Budget Allocat (2)'!CA27/'FY20 Initial Budget Allocat FTE'!CA$121</f>
        <v>0</v>
      </c>
      <c r="CB27" s="115">
        <f>'[8]FY20 Initial Budget Allocat (2)'!CB27/'FY20 Initial Budget Allocat FTE'!CB$121</f>
        <v>0</v>
      </c>
      <c r="CC27" s="80">
        <v>0</v>
      </c>
      <c r="CD27" s="115">
        <f>'[8]FY20 Initial Budget Allocat (2)'!CD27/'FY20 Initial Budget Allocat FTE'!CD$121</f>
        <v>0</v>
      </c>
      <c r="CE27" s="115">
        <f>'[8]FY20 Initial Budget Allocat (2)'!CE27/'FY20 Initial Budget Allocat FTE'!CE$121</f>
        <v>0</v>
      </c>
      <c r="CF27" s="115">
        <f>'[8]FY20 Initial Budget Allocat (2)'!CF27/'FY20 Initial Budget Allocat FTE'!CF$121</f>
        <v>0</v>
      </c>
      <c r="CG27" s="115">
        <f>'[8]FY20 Initial Budget Allocat (2)'!CG27/'FY20 Initial Budget Allocat FTE'!CG$121</f>
        <v>0</v>
      </c>
      <c r="CH27" s="115">
        <f>'[8]FY20 Initial Budget Allocat (2)'!CH27/'FY20 Initial Budget Allocat FTE'!CH$121</f>
        <v>0</v>
      </c>
      <c r="CI27" s="115">
        <f>'[8]FY20 Initial Budget Allocat (2)'!CI27/'FY20 Initial Budget Allocat FTE'!CI$121</f>
        <v>3.0000000000000004</v>
      </c>
      <c r="CJ27" s="115">
        <f>'[8]FY20 Initial Budget Allocat (2)'!CJ27/'FY20 Initial Budget Allocat FTE'!CJ$121</f>
        <v>0</v>
      </c>
      <c r="CK27" s="79">
        <v>23000</v>
      </c>
      <c r="CL27" s="79">
        <v>5000</v>
      </c>
      <c r="CM27" s="79">
        <v>473224.5</v>
      </c>
      <c r="CN27" s="79">
        <v>100000</v>
      </c>
      <c r="CO27" s="115">
        <f>'[8]FY20 Initial Budget Allocat (2)'!CO27/'FY20 Initial Budget Allocat FTE'!CO$121</f>
        <v>0</v>
      </c>
      <c r="CP27" s="79">
        <v>0</v>
      </c>
      <c r="CQ27" s="79">
        <v>0</v>
      </c>
      <c r="CR27" s="79">
        <v>0</v>
      </c>
      <c r="CS27" s="79">
        <v>104540.50364963504</v>
      </c>
      <c r="CT27" s="115">
        <f>'[8]FY20 Initial Budget Allocat (2)'!CT27/'FY20 Initial Budget Allocat FTE'!CT$121</f>
        <v>0</v>
      </c>
      <c r="CU27" s="115">
        <f>'[8]FY20 Initial Budget Allocat (2)'!CU27/'FY20 Initial Budget Allocat FTE'!CU$121</f>
        <v>0</v>
      </c>
      <c r="CV27" s="79"/>
      <c r="CW27" s="79">
        <v>0</v>
      </c>
      <c r="CX27" s="115">
        <f>'[8]FY20 Initial Budget Allocat (2)'!CX27/'FY20 Initial Budget Allocat FTE'!CX$121</f>
        <v>0</v>
      </c>
      <c r="CY27" s="79">
        <v>0</v>
      </c>
      <c r="CZ27" s="79">
        <v>0</v>
      </c>
      <c r="DA27" s="79">
        <v>153000</v>
      </c>
      <c r="DB27" s="79">
        <v>206266.18025905665</v>
      </c>
      <c r="DC27" s="82">
        <v>2082298.8248455543</v>
      </c>
      <c r="DD27" s="79">
        <v>16256</v>
      </c>
      <c r="DE27" s="79"/>
      <c r="DF27" s="79">
        <v>40250</v>
      </c>
      <c r="DG27" s="79">
        <v>0</v>
      </c>
      <c r="DH27" s="83">
        <v>0</v>
      </c>
      <c r="DI27" s="79">
        <v>10426.307189542484</v>
      </c>
      <c r="DJ27" s="79">
        <v>15952250</v>
      </c>
      <c r="DK27" s="84">
        <v>0</v>
      </c>
      <c r="DL27" s="84">
        <v>0</v>
      </c>
      <c r="DM27" s="84">
        <f t="shared" si="0"/>
        <v>15952250</v>
      </c>
      <c r="DN27" s="116">
        <f t="shared" si="1"/>
        <v>0</v>
      </c>
      <c r="DO27" s="116">
        <f t="shared" si="2"/>
        <v>0</v>
      </c>
      <c r="DP27" s="116">
        <f t="shared" si="3"/>
        <v>69.5</v>
      </c>
      <c r="DQ27" s="116">
        <f t="shared" si="4"/>
        <v>20.5</v>
      </c>
      <c r="DR27" s="116">
        <f t="shared" si="5"/>
        <v>3</v>
      </c>
    </row>
    <row r="28" spans="1:122" x14ac:dyDescent="0.25">
      <c r="A28" s="76">
        <v>349</v>
      </c>
      <c r="B28" s="76" t="s">
        <v>166</v>
      </c>
      <c r="C28" s="77" t="s">
        <v>135</v>
      </c>
      <c r="D28" s="41">
        <v>4</v>
      </c>
      <c r="E28" s="78">
        <v>476</v>
      </c>
      <c r="F28" s="78">
        <v>225.29032258064515</v>
      </c>
      <c r="G28" s="115">
        <f>'[8]FY20 Initial Budget Allocat (2)'!G28/'FY20 Initial Budget Allocat FTE'!G$121</f>
        <v>1</v>
      </c>
      <c r="H28" s="115">
        <f>'[8]FY20 Initial Budget Allocat (2)'!H28/'FY20 Initial Budget Allocat FTE'!H$121</f>
        <v>1</v>
      </c>
      <c r="I28" s="115">
        <f>'[8]FY20 Initial Budget Allocat (2)'!I28/'FY20 Initial Budget Allocat FTE'!I$121</f>
        <v>1.2</v>
      </c>
      <c r="J28" s="115">
        <f>'[8]FY20 Initial Budget Allocat (2)'!J28/'FY20 Initial Budget Allocat FTE'!J$121</f>
        <v>0</v>
      </c>
      <c r="K28" s="115">
        <f>'[8]FY20 Initial Budget Allocat (2)'!K28/'FY20 Initial Budget Allocat FTE'!K$121</f>
        <v>0</v>
      </c>
      <c r="L28" s="115">
        <f>'[8]FY20 Initial Budget Allocat (2)'!L28/'FY20 Initial Budget Allocat FTE'!L$121</f>
        <v>1</v>
      </c>
      <c r="M28" s="115">
        <f>'[8]FY20 Initial Budget Allocat (2)'!M28/'FY20 Initial Budget Allocat FTE'!M$121</f>
        <v>1</v>
      </c>
      <c r="N28" s="115">
        <f>'[8]FY20 Initial Budget Allocat (2)'!N28/'FY20 Initial Budget Allocat FTE'!N$121</f>
        <v>1.2</v>
      </c>
      <c r="O28" s="115">
        <f>'[8]FY20 Initial Budget Allocat (2)'!O28/'FY20 Initial Budget Allocat FTE'!O$121</f>
        <v>0</v>
      </c>
      <c r="P28" s="115">
        <f>'[8]FY20 Initial Budget Allocat (2)'!P28/'FY20 Initial Budget Allocat FTE'!P$121</f>
        <v>0</v>
      </c>
      <c r="Q28" s="115">
        <f>'[8]FY20 Initial Budget Allocat (2)'!Q28/'FY20 Initial Budget Allocat FTE'!Q$121</f>
        <v>0</v>
      </c>
      <c r="R28" s="115">
        <f>'[8]FY20 Initial Budget Allocat (2)'!R28/'FY20 Initial Budget Allocat FTE'!R$121</f>
        <v>1</v>
      </c>
      <c r="S28" s="115">
        <f>'[8]FY20 Initial Budget Allocat (2)'!S28/'FY20 Initial Budget Allocat FTE'!S$121</f>
        <v>1</v>
      </c>
      <c r="T28" s="115">
        <f>'[8]FY20 Initial Budget Allocat (2)'!T28/'FY20 Initial Budget Allocat FTE'!T$121</f>
        <v>3</v>
      </c>
      <c r="U28" s="115">
        <f>'[8]FY20 Initial Budget Allocat (2)'!U28/'FY20 Initial Budget Allocat FTE'!U$121</f>
        <v>1</v>
      </c>
      <c r="V28" s="115">
        <f>'[8]FY20 Initial Budget Allocat (2)'!V28/'FY20 Initial Budget Allocat FTE'!V$121</f>
        <v>1</v>
      </c>
      <c r="W28" s="115">
        <f>'[8]FY20 Initial Budget Allocat (2)'!W28/'FY20 Initial Budget Allocat FTE'!W$121</f>
        <v>1</v>
      </c>
      <c r="X28" s="115">
        <f>'[8]FY20 Initial Budget Allocat (2)'!X28/'FY20 Initial Budget Allocat FTE'!X$121</f>
        <v>1</v>
      </c>
      <c r="Y28" s="115">
        <f>'[8]FY20 Initial Budget Allocat (2)'!Y28/'FY20 Initial Budget Allocat FTE'!Y$121</f>
        <v>1.5000000000000002</v>
      </c>
      <c r="Z28" s="115">
        <f>'[8]FY20 Initial Budget Allocat (2)'!Z28/'FY20 Initial Budget Allocat FTE'!Z$121</f>
        <v>0</v>
      </c>
      <c r="AA28" s="115">
        <f>'[8]FY20 Initial Budget Allocat (2)'!AA28/'FY20 Initial Budget Allocat FTE'!AA$121</f>
        <v>4</v>
      </c>
      <c r="AB28" s="115">
        <f>'[8]FY20 Initial Budget Allocat (2)'!AB28/'FY20 Initial Budget Allocat FTE'!AB$121</f>
        <v>4</v>
      </c>
      <c r="AC28" s="115">
        <f>'[8]FY20 Initial Budget Allocat (2)'!AC28/'FY20 Initial Budget Allocat FTE'!AC$121</f>
        <v>0</v>
      </c>
      <c r="AD28" s="115">
        <f>'[8]FY20 Initial Budget Allocat (2)'!AD28/'FY20 Initial Budget Allocat FTE'!AD$121</f>
        <v>0</v>
      </c>
      <c r="AE28" s="115">
        <f>'[8]FY20 Initial Budget Allocat (2)'!AE28/'FY20 Initial Budget Allocat FTE'!AE$121</f>
        <v>5</v>
      </c>
      <c r="AF28" s="115">
        <f>'[8]FY20 Initial Budget Allocat (2)'!AF28/'FY20 Initial Budget Allocat FTE'!AF$121</f>
        <v>5</v>
      </c>
      <c r="AG28" s="115">
        <f>'[8]FY20 Initial Budget Allocat (2)'!AG28/'FY20 Initial Budget Allocat FTE'!AG$121</f>
        <v>4</v>
      </c>
      <c r="AH28" s="115">
        <f>'[8]FY20 Initial Budget Allocat (2)'!AH28/'FY20 Initial Budget Allocat FTE'!AH$121</f>
        <v>4</v>
      </c>
      <c r="AI28" s="115">
        <f>'[8]FY20 Initial Budget Allocat (2)'!AI28/'FY20 Initial Budget Allocat FTE'!AI$121</f>
        <v>3.0000000000000004</v>
      </c>
      <c r="AJ28" s="115">
        <f>'[8]FY20 Initial Budget Allocat (2)'!AJ28/'FY20 Initial Budget Allocat FTE'!AJ$121</f>
        <v>3.0000000000000004</v>
      </c>
      <c r="AK28" s="115">
        <f>'[8]FY20 Initial Budget Allocat (2)'!AK28/'FY20 Initial Budget Allocat FTE'!AK$121</f>
        <v>3.0000000000000004</v>
      </c>
      <c r="AL28" s="115">
        <f>'[8]FY20 Initial Budget Allocat (2)'!AL28/'FY20 Initial Budget Allocat FTE'!AL$121</f>
        <v>2</v>
      </c>
      <c r="AM28" s="115">
        <f>'[8]FY20 Initial Budget Allocat (2)'!AM28/'FY20 Initial Budget Allocat FTE'!AM$121</f>
        <v>2</v>
      </c>
      <c r="AN28" s="115">
        <f>'[8]FY20 Initial Budget Allocat (2)'!AN28/'FY20 Initial Budget Allocat FTE'!AN$121</f>
        <v>0</v>
      </c>
      <c r="AO28" s="115">
        <f>'[8]FY20 Initial Budget Allocat (2)'!AO28/'FY20 Initial Budget Allocat FTE'!AO$121</f>
        <v>0</v>
      </c>
      <c r="AP28" s="115">
        <f>'[8]FY20 Initial Budget Allocat (2)'!AP28/'FY20 Initial Budget Allocat FTE'!AP$121</f>
        <v>0</v>
      </c>
      <c r="AQ28" s="115">
        <f>'[8]FY20 Initial Budget Allocat (2)'!AQ28/'FY20 Initial Budget Allocat FTE'!AQ$121</f>
        <v>0</v>
      </c>
      <c r="AR28" s="115">
        <f>'[8]FY20 Initial Budget Allocat (2)'!AR28/'FY20 Initial Budget Allocat FTE'!AR$121</f>
        <v>0</v>
      </c>
      <c r="AS28" s="115">
        <f>'[8]FY20 Initial Budget Allocat (2)'!AS28/'FY20 Initial Budget Allocat FTE'!AS$121</f>
        <v>0</v>
      </c>
      <c r="AT28" s="115">
        <f>'[8]FY20 Initial Budget Allocat (2)'!AT28/'FY20 Initial Budget Allocat FTE'!AT$121</f>
        <v>0</v>
      </c>
      <c r="AU28" s="115">
        <f>'[8]FY20 Initial Budget Allocat (2)'!AU28/'FY20 Initial Budget Allocat FTE'!AU$121</f>
        <v>0</v>
      </c>
      <c r="AV28" s="115">
        <f>'[8]FY20 Initial Budget Allocat (2)'!AV28/'FY20 Initial Budget Allocat FTE'!AV$121</f>
        <v>0</v>
      </c>
      <c r="AW28" s="115">
        <f>'[8]FY20 Initial Budget Allocat (2)'!AW28/'FY20 Initial Budget Allocat FTE'!AW$121</f>
        <v>0</v>
      </c>
      <c r="AX28" s="115">
        <f>'[8]FY20 Initial Budget Allocat (2)'!AX28/'FY20 Initial Budget Allocat FTE'!AX$121</f>
        <v>1</v>
      </c>
      <c r="AY28" s="115">
        <f>'[8]FY20 Initial Budget Allocat (2)'!AY28/'FY20 Initial Budget Allocat FTE'!AY$121</f>
        <v>1.5000000000000002</v>
      </c>
      <c r="AZ28" s="115">
        <f>'[8]FY20 Initial Budget Allocat (2)'!AZ28/'FY20 Initial Budget Allocat FTE'!AZ$121</f>
        <v>8</v>
      </c>
      <c r="BA28" s="115">
        <f>'[8]FY20 Initial Budget Allocat (2)'!BA28/'FY20 Initial Budget Allocat FTE'!BA$121</f>
        <v>6</v>
      </c>
      <c r="BB28" s="115">
        <f>'[8]FY20 Initial Budget Allocat (2)'!BB28/'FY20 Initial Budget Allocat FTE'!BB$121</f>
        <v>0</v>
      </c>
      <c r="BC28" s="115">
        <f>'[8]FY20 Initial Budget Allocat (2)'!BC28/'FY20 Initial Budget Allocat FTE'!BC$121</f>
        <v>0</v>
      </c>
      <c r="BD28" s="115">
        <f>'[8]FY20 Initial Budget Allocat (2)'!BD28/'FY20 Initial Budget Allocat FTE'!BD$121</f>
        <v>11</v>
      </c>
      <c r="BE28" s="115">
        <f>'[8]FY20 Initial Budget Allocat (2)'!BE28/'FY20 Initial Budget Allocat FTE'!BE$121</f>
        <v>0</v>
      </c>
      <c r="BF28" s="115">
        <f>'[8]FY20 Initial Budget Allocat (2)'!BF28/'FY20 Initial Budget Allocat FTE'!BF$121</f>
        <v>2</v>
      </c>
      <c r="BG28" s="115">
        <f>'[8]FY20 Initial Budget Allocat (2)'!BG28/'FY20 Initial Budget Allocat FTE'!BG$121</f>
        <v>0</v>
      </c>
      <c r="BH28" s="115">
        <f>'[8]FY20 Initial Budget Allocat (2)'!BH28/'FY20 Initial Budget Allocat FTE'!BH$121</f>
        <v>0</v>
      </c>
      <c r="BI28" s="115">
        <f>'[8]FY20 Initial Budget Allocat (2)'!BI28/'FY20 Initial Budget Allocat FTE'!BI$121</f>
        <v>0</v>
      </c>
      <c r="BJ28" s="79"/>
      <c r="BK28" s="79">
        <v>0</v>
      </c>
      <c r="BL28" s="79"/>
      <c r="BM28" s="79">
        <v>227236.01</v>
      </c>
      <c r="BN28" s="79">
        <v>3615.91</v>
      </c>
      <c r="BO28" s="79">
        <v>0</v>
      </c>
      <c r="BP28" s="115">
        <f>'[8]FY20 Initial Budget Allocat (2)'!BP28/'FY20 Initial Budget Allocat FTE'!BP$121</f>
        <v>0</v>
      </c>
      <c r="BQ28" s="115">
        <f>'[8]FY20 Initial Budget Allocat (2)'!BQ28/'FY20 Initial Budget Allocat FTE'!BQ$121</f>
        <v>0</v>
      </c>
      <c r="BR28" s="115">
        <f>'[8]FY20 Initial Budget Allocat (2)'!BR28/'FY20 Initial Budget Allocat FTE'!BR$121</f>
        <v>0</v>
      </c>
      <c r="BS28" s="115">
        <f>'[8]FY20 Initial Budget Allocat (2)'!BS28/'FY20 Initial Budget Allocat FTE'!BS$121</f>
        <v>0</v>
      </c>
      <c r="BT28" s="115">
        <f>'[8]FY20 Initial Budget Allocat (2)'!BT28/'FY20 Initial Budget Allocat FTE'!BT$121</f>
        <v>0</v>
      </c>
      <c r="BU28" s="115">
        <f>'[8]FY20 Initial Budget Allocat (2)'!BU28/'FY20 Initial Budget Allocat FTE'!BU$121</f>
        <v>0</v>
      </c>
      <c r="BV28" s="115">
        <f>'[8]FY20 Initial Budget Allocat (2)'!BV28/'FY20 Initial Budget Allocat FTE'!BV$121</f>
        <v>0</v>
      </c>
      <c r="BW28" s="80">
        <v>0</v>
      </c>
      <c r="BX28" s="80">
        <v>0</v>
      </c>
      <c r="BY28" s="80">
        <v>0</v>
      </c>
      <c r="BZ28" s="80">
        <v>0</v>
      </c>
      <c r="CA28" s="115">
        <f>'[8]FY20 Initial Budget Allocat (2)'!CA28/'FY20 Initial Budget Allocat FTE'!CA$121</f>
        <v>0</v>
      </c>
      <c r="CB28" s="115">
        <f>'[8]FY20 Initial Budget Allocat (2)'!CB28/'FY20 Initial Budget Allocat FTE'!CB$121</f>
        <v>0</v>
      </c>
      <c r="CC28" s="80">
        <v>0</v>
      </c>
      <c r="CD28" s="115">
        <f>'[8]FY20 Initial Budget Allocat (2)'!CD28/'FY20 Initial Budget Allocat FTE'!CD$121</f>
        <v>0</v>
      </c>
      <c r="CE28" s="115">
        <f>'[8]FY20 Initial Budget Allocat (2)'!CE28/'FY20 Initial Budget Allocat FTE'!CE$121</f>
        <v>0</v>
      </c>
      <c r="CF28" s="115">
        <f>'[8]FY20 Initial Budget Allocat (2)'!CF28/'FY20 Initial Budget Allocat FTE'!CF$121</f>
        <v>0</v>
      </c>
      <c r="CG28" s="115">
        <f>'[8]FY20 Initial Budget Allocat (2)'!CG28/'FY20 Initial Budget Allocat FTE'!CG$121</f>
        <v>0</v>
      </c>
      <c r="CH28" s="115">
        <f>'[8]FY20 Initial Budget Allocat (2)'!CH28/'FY20 Initial Budget Allocat FTE'!CH$121</f>
        <v>0</v>
      </c>
      <c r="CI28" s="115">
        <f>'[8]FY20 Initial Budget Allocat (2)'!CI28/'FY20 Initial Budget Allocat FTE'!CI$121</f>
        <v>0</v>
      </c>
      <c r="CJ28" s="115">
        <f>'[8]FY20 Initial Budget Allocat (2)'!CJ28/'FY20 Initial Budget Allocat FTE'!CJ$121</f>
        <v>0</v>
      </c>
      <c r="CK28" s="79">
        <v>0</v>
      </c>
      <c r="CL28" s="79">
        <v>0</v>
      </c>
      <c r="CM28" s="79">
        <v>108165.6</v>
      </c>
      <c r="CN28" s="79">
        <v>0</v>
      </c>
      <c r="CO28" s="115">
        <f>'[8]FY20 Initial Budget Allocat (2)'!CO28/'FY20 Initial Budget Allocat FTE'!CO$121</f>
        <v>0</v>
      </c>
      <c r="CP28" s="79">
        <v>0</v>
      </c>
      <c r="CQ28" s="79">
        <v>4505.8064516129034</v>
      </c>
      <c r="CR28" s="79">
        <v>372600</v>
      </c>
      <c r="CS28" s="79">
        <v>26375</v>
      </c>
      <c r="CT28" s="115">
        <f>'[8]FY20 Initial Budget Allocat (2)'!CT28/'FY20 Initial Budget Allocat FTE'!CT$121</f>
        <v>0</v>
      </c>
      <c r="CU28" s="115">
        <f>'[8]FY20 Initial Budget Allocat (2)'!CU28/'FY20 Initial Budget Allocat FTE'!CU$121</f>
        <v>0</v>
      </c>
      <c r="CV28" s="79"/>
      <c r="CW28" s="79">
        <v>0</v>
      </c>
      <c r="CX28" s="115">
        <f>'[8]FY20 Initial Budget Allocat (2)'!CX28/'FY20 Initial Budget Allocat FTE'!CX$121</f>
        <v>0</v>
      </c>
      <c r="CY28" s="79">
        <v>0</v>
      </c>
      <c r="CZ28" s="79">
        <v>0</v>
      </c>
      <c r="DA28" s="79">
        <v>47600</v>
      </c>
      <c r="DB28" s="79">
        <v>127892.62935235533</v>
      </c>
      <c r="DC28" s="82">
        <v>0</v>
      </c>
      <c r="DD28" s="79">
        <v>0</v>
      </c>
      <c r="DE28" s="79"/>
      <c r="DF28" s="79">
        <v>13500</v>
      </c>
      <c r="DG28" s="79">
        <v>0</v>
      </c>
      <c r="DH28" s="83">
        <v>0</v>
      </c>
      <c r="DI28" s="79">
        <v>17862.463299337021</v>
      </c>
      <c r="DJ28" s="79">
        <v>8502532.530484423</v>
      </c>
      <c r="DK28" s="84">
        <v>-4.8442371189594269E-4</v>
      </c>
      <c r="DL28" s="84">
        <v>0</v>
      </c>
      <c r="DM28" s="84">
        <f t="shared" si="0"/>
        <v>8502532.5299999993</v>
      </c>
      <c r="DN28" s="116">
        <f t="shared" si="1"/>
        <v>13</v>
      </c>
      <c r="DO28" s="116">
        <f t="shared" si="2"/>
        <v>13</v>
      </c>
      <c r="DP28" s="116">
        <f t="shared" si="3"/>
        <v>13.000000000000002</v>
      </c>
      <c r="DQ28" s="116">
        <f t="shared" si="4"/>
        <v>23.5</v>
      </c>
      <c r="DR28" s="116">
        <f t="shared" si="5"/>
        <v>6</v>
      </c>
    </row>
    <row r="29" spans="1:122" x14ac:dyDescent="0.25">
      <c r="A29" s="76">
        <v>231</v>
      </c>
      <c r="B29" s="76" t="s">
        <v>167</v>
      </c>
      <c r="C29" s="77" t="s">
        <v>135</v>
      </c>
      <c r="D29" s="41">
        <v>7</v>
      </c>
      <c r="E29" s="78">
        <v>228</v>
      </c>
      <c r="F29" s="78">
        <v>181.15107913669067</v>
      </c>
      <c r="G29" s="115">
        <f>'[8]FY20 Initial Budget Allocat (2)'!G29/'FY20 Initial Budget Allocat FTE'!G$121</f>
        <v>1</v>
      </c>
      <c r="H29" s="115">
        <f>'[8]FY20 Initial Budget Allocat (2)'!H29/'FY20 Initial Budget Allocat FTE'!H$121</f>
        <v>1</v>
      </c>
      <c r="I29" s="115">
        <f>'[8]FY20 Initial Budget Allocat (2)'!I29/'FY20 Initial Budget Allocat FTE'!I$121</f>
        <v>0</v>
      </c>
      <c r="J29" s="115">
        <f>'[8]FY20 Initial Budget Allocat (2)'!J29/'FY20 Initial Budget Allocat FTE'!J$121</f>
        <v>0</v>
      </c>
      <c r="K29" s="115">
        <f>'[8]FY20 Initial Budget Allocat (2)'!K29/'FY20 Initial Budget Allocat FTE'!K$121</f>
        <v>0</v>
      </c>
      <c r="L29" s="115">
        <f>'[8]FY20 Initial Budget Allocat (2)'!L29/'FY20 Initial Budget Allocat FTE'!L$121</f>
        <v>0.5</v>
      </c>
      <c r="M29" s="115">
        <f>'[8]FY20 Initial Budget Allocat (2)'!M29/'FY20 Initial Budget Allocat FTE'!M$121</f>
        <v>1</v>
      </c>
      <c r="N29" s="115">
        <f>'[8]FY20 Initial Budget Allocat (2)'!N29/'FY20 Initial Budget Allocat FTE'!N$121</f>
        <v>0</v>
      </c>
      <c r="O29" s="115">
        <f>'[8]FY20 Initial Budget Allocat (2)'!O29/'FY20 Initial Budget Allocat FTE'!O$121</f>
        <v>0</v>
      </c>
      <c r="P29" s="115">
        <f>'[8]FY20 Initial Budget Allocat (2)'!P29/'FY20 Initial Budget Allocat FTE'!P$121</f>
        <v>0</v>
      </c>
      <c r="Q29" s="115">
        <f>'[8]FY20 Initial Budget Allocat (2)'!Q29/'FY20 Initial Budget Allocat FTE'!Q$121</f>
        <v>0</v>
      </c>
      <c r="R29" s="115">
        <f>'[8]FY20 Initial Budget Allocat (2)'!R29/'FY20 Initial Budget Allocat FTE'!R$121</f>
        <v>1</v>
      </c>
      <c r="S29" s="115">
        <f>'[8]FY20 Initial Budget Allocat (2)'!S29/'FY20 Initial Budget Allocat FTE'!S$121</f>
        <v>1</v>
      </c>
      <c r="T29" s="115">
        <f>'[8]FY20 Initial Budget Allocat (2)'!T29/'FY20 Initial Budget Allocat FTE'!T$121</f>
        <v>1</v>
      </c>
      <c r="U29" s="115">
        <f>'[8]FY20 Initial Budget Allocat (2)'!U29/'FY20 Initial Budget Allocat FTE'!U$121</f>
        <v>0.5</v>
      </c>
      <c r="V29" s="115">
        <f>'[8]FY20 Initial Budget Allocat (2)'!V29/'FY20 Initial Budget Allocat FTE'!V$121</f>
        <v>1</v>
      </c>
      <c r="W29" s="115">
        <f>'[8]FY20 Initial Budget Allocat (2)'!W29/'FY20 Initial Budget Allocat FTE'!W$121</f>
        <v>1</v>
      </c>
      <c r="X29" s="115">
        <f>'[8]FY20 Initial Budget Allocat (2)'!X29/'FY20 Initial Budget Allocat FTE'!X$121</f>
        <v>1</v>
      </c>
      <c r="Y29" s="115">
        <f>'[8]FY20 Initial Budget Allocat (2)'!Y29/'FY20 Initial Budget Allocat FTE'!Y$121</f>
        <v>0</v>
      </c>
      <c r="Z29" s="115">
        <f>'[8]FY20 Initial Budget Allocat (2)'!Z29/'FY20 Initial Budget Allocat FTE'!Z$121</f>
        <v>0</v>
      </c>
      <c r="AA29" s="115">
        <f>'[8]FY20 Initial Budget Allocat (2)'!AA29/'FY20 Initial Budget Allocat FTE'!AA$121</f>
        <v>1</v>
      </c>
      <c r="AB29" s="115">
        <f>'[8]FY20 Initial Budget Allocat (2)'!AB29/'FY20 Initial Budget Allocat FTE'!AB$121</f>
        <v>1</v>
      </c>
      <c r="AC29" s="115">
        <f>'[8]FY20 Initial Budget Allocat (2)'!AC29/'FY20 Initial Budget Allocat FTE'!AC$121</f>
        <v>1</v>
      </c>
      <c r="AD29" s="115">
        <f>'[8]FY20 Initial Budget Allocat (2)'!AD29/'FY20 Initial Budget Allocat FTE'!AD$121</f>
        <v>1</v>
      </c>
      <c r="AE29" s="115">
        <f>'[8]FY20 Initial Budget Allocat (2)'!AE29/'FY20 Initial Budget Allocat FTE'!AE$121</f>
        <v>1</v>
      </c>
      <c r="AF29" s="115">
        <f>'[8]FY20 Initial Budget Allocat (2)'!AF29/'FY20 Initial Budget Allocat FTE'!AF$121</f>
        <v>1</v>
      </c>
      <c r="AG29" s="115">
        <f>'[8]FY20 Initial Budget Allocat (2)'!AG29/'FY20 Initial Budget Allocat FTE'!AG$121</f>
        <v>2</v>
      </c>
      <c r="AH29" s="115">
        <f>'[8]FY20 Initial Budget Allocat (2)'!AH29/'FY20 Initial Budget Allocat FTE'!AH$121</f>
        <v>2</v>
      </c>
      <c r="AI29" s="115">
        <f>'[8]FY20 Initial Budget Allocat (2)'!AI29/'FY20 Initial Budget Allocat FTE'!AI$121</f>
        <v>1</v>
      </c>
      <c r="AJ29" s="115">
        <f>'[8]FY20 Initial Budget Allocat (2)'!AJ29/'FY20 Initial Budget Allocat FTE'!AJ$121</f>
        <v>2</v>
      </c>
      <c r="AK29" s="115">
        <f>'[8]FY20 Initial Budget Allocat (2)'!AK29/'FY20 Initial Budget Allocat FTE'!AK$121</f>
        <v>2</v>
      </c>
      <c r="AL29" s="115">
        <f>'[8]FY20 Initial Budget Allocat (2)'!AL29/'FY20 Initial Budget Allocat FTE'!AL$121</f>
        <v>1</v>
      </c>
      <c r="AM29" s="115">
        <f>'[8]FY20 Initial Budget Allocat (2)'!AM29/'FY20 Initial Budget Allocat FTE'!AM$121</f>
        <v>2</v>
      </c>
      <c r="AN29" s="115">
        <f>'[8]FY20 Initial Budget Allocat (2)'!AN29/'FY20 Initial Budget Allocat FTE'!AN$121</f>
        <v>0</v>
      </c>
      <c r="AO29" s="115">
        <f>'[8]FY20 Initial Budget Allocat (2)'!AO29/'FY20 Initial Budget Allocat FTE'!AO$121</f>
        <v>0</v>
      </c>
      <c r="AP29" s="115">
        <f>'[8]FY20 Initial Budget Allocat (2)'!AP29/'FY20 Initial Budget Allocat FTE'!AP$121</f>
        <v>0</v>
      </c>
      <c r="AQ29" s="115">
        <f>'[8]FY20 Initial Budget Allocat (2)'!AQ29/'FY20 Initial Budget Allocat FTE'!AQ$121</f>
        <v>0</v>
      </c>
      <c r="AR29" s="115">
        <f>'[8]FY20 Initial Budget Allocat (2)'!AR29/'FY20 Initial Budget Allocat FTE'!AR$121</f>
        <v>0</v>
      </c>
      <c r="AS29" s="115">
        <f>'[8]FY20 Initial Budget Allocat (2)'!AS29/'FY20 Initial Budget Allocat FTE'!AS$121</f>
        <v>0</v>
      </c>
      <c r="AT29" s="115">
        <f>'[8]FY20 Initial Budget Allocat (2)'!AT29/'FY20 Initial Budget Allocat FTE'!AT$121</f>
        <v>0</v>
      </c>
      <c r="AU29" s="115">
        <f>'[8]FY20 Initial Budget Allocat (2)'!AU29/'FY20 Initial Budget Allocat FTE'!AU$121</f>
        <v>0</v>
      </c>
      <c r="AV29" s="115">
        <f>'[8]FY20 Initial Budget Allocat (2)'!AV29/'FY20 Initial Budget Allocat FTE'!AV$121</f>
        <v>0</v>
      </c>
      <c r="AW29" s="115">
        <f>'[8]FY20 Initial Budget Allocat (2)'!AW29/'FY20 Initial Budget Allocat FTE'!AW$121</f>
        <v>0</v>
      </c>
      <c r="AX29" s="115">
        <f>'[8]FY20 Initial Budget Allocat (2)'!AX29/'FY20 Initial Budget Allocat FTE'!AX$121</f>
        <v>1</v>
      </c>
      <c r="AY29" s="115">
        <f>'[8]FY20 Initial Budget Allocat (2)'!AY29/'FY20 Initial Budget Allocat FTE'!AY$121</f>
        <v>1</v>
      </c>
      <c r="AZ29" s="115">
        <f>'[8]FY20 Initial Budget Allocat (2)'!AZ29/'FY20 Initial Budget Allocat FTE'!AZ$121</f>
        <v>4</v>
      </c>
      <c r="BA29" s="115">
        <f>'[8]FY20 Initial Budget Allocat (2)'!BA29/'FY20 Initial Budget Allocat FTE'!BA$121</f>
        <v>2</v>
      </c>
      <c r="BB29" s="115">
        <f>'[8]FY20 Initial Budget Allocat (2)'!BB29/'FY20 Initial Budget Allocat FTE'!BB$121</f>
        <v>0</v>
      </c>
      <c r="BC29" s="115">
        <f>'[8]FY20 Initial Budget Allocat (2)'!BC29/'FY20 Initial Budget Allocat FTE'!BC$121</f>
        <v>0</v>
      </c>
      <c r="BD29" s="115">
        <f>'[8]FY20 Initial Budget Allocat (2)'!BD29/'FY20 Initial Budget Allocat FTE'!BD$121</f>
        <v>0.31818181818181818</v>
      </c>
      <c r="BE29" s="115">
        <f>'[8]FY20 Initial Budget Allocat (2)'!BE29/'FY20 Initial Budget Allocat FTE'!BE$121</f>
        <v>0</v>
      </c>
      <c r="BF29" s="115">
        <f>'[8]FY20 Initial Budget Allocat (2)'!BF29/'FY20 Initial Budget Allocat FTE'!BF$121</f>
        <v>0</v>
      </c>
      <c r="BG29" s="115">
        <f>'[8]FY20 Initial Budget Allocat (2)'!BG29/'FY20 Initial Budget Allocat FTE'!BG$121</f>
        <v>1.062629468760441</v>
      </c>
      <c r="BH29" s="115">
        <f>'[8]FY20 Initial Budget Allocat (2)'!BH29/'FY20 Initial Budget Allocat FTE'!BH$121</f>
        <v>3</v>
      </c>
      <c r="BI29" s="115">
        <f>'[8]FY20 Initial Budget Allocat (2)'!BI29/'FY20 Initial Budget Allocat FTE'!BI$121</f>
        <v>1</v>
      </c>
      <c r="BJ29" s="79"/>
      <c r="BK29" s="79">
        <v>0</v>
      </c>
      <c r="BL29" s="79">
        <v>11597.1</v>
      </c>
      <c r="BM29" s="79">
        <v>129305.84</v>
      </c>
      <c r="BN29" s="79">
        <v>2057.59</v>
      </c>
      <c r="BO29" s="79">
        <v>0</v>
      </c>
      <c r="BP29" s="115">
        <f>'[8]FY20 Initial Budget Allocat (2)'!BP29/'FY20 Initial Budget Allocat FTE'!BP$121</f>
        <v>0</v>
      </c>
      <c r="BQ29" s="115">
        <f>'[8]FY20 Initial Budget Allocat (2)'!BQ29/'FY20 Initial Budget Allocat FTE'!BQ$121</f>
        <v>0</v>
      </c>
      <c r="BR29" s="115">
        <f>'[8]FY20 Initial Budget Allocat (2)'!BR29/'FY20 Initial Budget Allocat FTE'!BR$121</f>
        <v>0</v>
      </c>
      <c r="BS29" s="115">
        <f>'[8]FY20 Initial Budget Allocat (2)'!BS29/'FY20 Initial Budget Allocat FTE'!BS$121</f>
        <v>0</v>
      </c>
      <c r="BT29" s="115">
        <f>'[8]FY20 Initial Budget Allocat (2)'!BT29/'FY20 Initial Budget Allocat FTE'!BT$121</f>
        <v>0</v>
      </c>
      <c r="BU29" s="115">
        <f>'[8]FY20 Initial Budget Allocat (2)'!BU29/'FY20 Initial Budget Allocat FTE'!BU$121</f>
        <v>1</v>
      </c>
      <c r="BV29" s="115">
        <f>'[8]FY20 Initial Budget Allocat (2)'!BV29/'FY20 Initial Budget Allocat FTE'!BV$121</f>
        <v>0</v>
      </c>
      <c r="BW29" s="80">
        <v>0</v>
      </c>
      <c r="BX29" s="80">
        <v>0</v>
      </c>
      <c r="BY29" s="80">
        <v>0</v>
      </c>
      <c r="BZ29" s="80">
        <v>0</v>
      </c>
      <c r="CA29" s="115">
        <f>'[8]FY20 Initial Budget Allocat (2)'!CA29/'FY20 Initial Budget Allocat FTE'!CA$121</f>
        <v>0</v>
      </c>
      <c r="CB29" s="115">
        <f>'[8]FY20 Initial Budget Allocat (2)'!CB29/'FY20 Initial Budget Allocat FTE'!CB$121</f>
        <v>0</v>
      </c>
      <c r="CC29" s="80">
        <v>0</v>
      </c>
      <c r="CD29" s="115">
        <f>'[8]FY20 Initial Budget Allocat (2)'!CD29/'FY20 Initial Budget Allocat FTE'!CD$121</f>
        <v>0</v>
      </c>
      <c r="CE29" s="115">
        <f>'[8]FY20 Initial Budget Allocat (2)'!CE29/'FY20 Initial Budget Allocat FTE'!CE$121</f>
        <v>0</v>
      </c>
      <c r="CF29" s="115">
        <f>'[8]FY20 Initial Budget Allocat (2)'!CF29/'FY20 Initial Budget Allocat FTE'!CF$121</f>
        <v>0</v>
      </c>
      <c r="CG29" s="115">
        <f>'[8]FY20 Initial Budget Allocat (2)'!CG29/'FY20 Initial Budget Allocat FTE'!CG$121</f>
        <v>0</v>
      </c>
      <c r="CH29" s="115">
        <f>'[8]FY20 Initial Budget Allocat (2)'!CH29/'FY20 Initial Budget Allocat FTE'!CH$121</f>
        <v>0</v>
      </c>
      <c r="CI29" s="115">
        <f>'[8]FY20 Initial Budget Allocat (2)'!CI29/'FY20 Initial Budget Allocat FTE'!CI$121</f>
        <v>0</v>
      </c>
      <c r="CJ29" s="115">
        <f>'[8]FY20 Initial Budget Allocat (2)'!CJ29/'FY20 Initial Budget Allocat FTE'!CJ$121</f>
        <v>0</v>
      </c>
      <c r="CK29" s="79">
        <v>0</v>
      </c>
      <c r="CL29" s="79">
        <v>0</v>
      </c>
      <c r="CM29" s="79">
        <v>54082.8</v>
      </c>
      <c r="CN29" s="79">
        <v>0</v>
      </c>
      <c r="CO29" s="115">
        <f>'[8]FY20 Initial Budget Allocat (2)'!CO29/'FY20 Initial Budget Allocat FTE'!CO$121</f>
        <v>0</v>
      </c>
      <c r="CP29" s="79">
        <v>0</v>
      </c>
      <c r="CQ29" s="79">
        <v>7246.0431654676267</v>
      </c>
      <c r="CR29" s="79">
        <v>120960</v>
      </c>
      <c r="CS29" s="79">
        <v>14210.596685082874</v>
      </c>
      <c r="CT29" s="115">
        <f>'[8]FY20 Initial Budget Allocat (2)'!CT29/'FY20 Initial Budget Allocat FTE'!CT$121</f>
        <v>0</v>
      </c>
      <c r="CU29" s="115">
        <f>'[8]FY20 Initial Budget Allocat (2)'!CU29/'FY20 Initial Budget Allocat FTE'!CU$121</f>
        <v>0</v>
      </c>
      <c r="CV29" s="79"/>
      <c r="CW29" s="79">
        <v>0</v>
      </c>
      <c r="CX29" s="115">
        <f>'[8]FY20 Initial Budget Allocat (2)'!CX29/'FY20 Initial Budget Allocat FTE'!CX$121</f>
        <v>0</v>
      </c>
      <c r="CY29" s="79">
        <v>0</v>
      </c>
      <c r="CZ29" s="79">
        <v>0</v>
      </c>
      <c r="DA29" s="79">
        <v>22800</v>
      </c>
      <c r="DB29" s="79">
        <v>54851.596683045624</v>
      </c>
      <c r="DC29" s="82">
        <v>0</v>
      </c>
      <c r="DD29" s="79">
        <v>15363.214285714286</v>
      </c>
      <c r="DE29" s="79"/>
      <c r="DF29" s="79">
        <v>21300</v>
      </c>
      <c r="DG29" s="79">
        <v>0</v>
      </c>
      <c r="DH29" s="83">
        <v>0</v>
      </c>
      <c r="DI29" s="79">
        <v>17149.440227950097</v>
      </c>
      <c r="DJ29" s="79">
        <v>3910072.3719726219</v>
      </c>
      <c r="DK29" s="84">
        <v>-1.9726217724382877E-3</v>
      </c>
      <c r="DL29" s="84">
        <v>48417.17</v>
      </c>
      <c r="DM29" s="84">
        <f t="shared" si="0"/>
        <v>3958489.54</v>
      </c>
      <c r="DN29" s="116">
        <f t="shared" si="1"/>
        <v>5</v>
      </c>
      <c r="DO29" s="116">
        <f t="shared" si="2"/>
        <v>5</v>
      </c>
      <c r="DP29" s="116">
        <f t="shared" si="3"/>
        <v>8</v>
      </c>
      <c r="DQ29" s="116">
        <f t="shared" si="4"/>
        <v>6.3181818181818183</v>
      </c>
      <c r="DR29" s="116">
        <f t="shared" si="5"/>
        <v>2</v>
      </c>
    </row>
    <row r="30" spans="1:122" x14ac:dyDescent="0.25">
      <c r="A30" s="76">
        <v>467</v>
      </c>
      <c r="B30" s="76" t="s">
        <v>168</v>
      </c>
      <c r="C30" s="77" t="s">
        <v>138</v>
      </c>
      <c r="D30" s="41">
        <v>5</v>
      </c>
      <c r="E30" s="78">
        <v>730</v>
      </c>
      <c r="F30" s="78">
        <v>565.53846153846155</v>
      </c>
      <c r="G30" s="115">
        <f>'[8]FY20 Initial Budget Allocat (2)'!G30/'FY20 Initial Budget Allocat FTE'!G$121</f>
        <v>1</v>
      </c>
      <c r="H30" s="115">
        <f>'[8]FY20 Initial Budget Allocat (2)'!H30/'FY20 Initial Budget Allocat FTE'!H$121</f>
        <v>1</v>
      </c>
      <c r="I30" s="115">
        <f>'[8]FY20 Initial Budget Allocat (2)'!I30/'FY20 Initial Budget Allocat FTE'!I$121</f>
        <v>2.4</v>
      </c>
      <c r="J30" s="115">
        <f>'[8]FY20 Initial Budget Allocat (2)'!J30/'FY20 Initial Budget Allocat FTE'!J$121</f>
        <v>0</v>
      </c>
      <c r="K30" s="115">
        <f>'[8]FY20 Initial Budget Allocat (2)'!K30/'FY20 Initial Budget Allocat FTE'!K$121</f>
        <v>2.9999897203226289</v>
      </c>
      <c r="L30" s="115">
        <f>'[8]FY20 Initial Budget Allocat (2)'!L30/'FY20 Initial Budget Allocat FTE'!L$121</f>
        <v>1</v>
      </c>
      <c r="M30" s="115">
        <f>'[8]FY20 Initial Budget Allocat (2)'!M30/'FY20 Initial Budget Allocat FTE'!M$121</f>
        <v>1</v>
      </c>
      <c r="N30" s="115">
        <f>'[8]FY20 Initial Budget Allocat (2)'!N30/'FY20 Initial Budget Allocat FTE'!N$121</f>
        <v>1.8</v>
      </c>
      <c r="O30" s="115">
        <f>'[8]FY20 Initial Budget Allocat (2)'!O30/'FY20 Initial Budget Allocat FTE'!O$121</f>
        <v>1</v>
      </c>
      <c r="P30" s="115">
        <f>'[8]FY20 Initial Budget Allocat (2)'!P30/'FY20 Initial Budget Allocat FTE'!P$121</f>
        <v>1</v>
      </c>
      <c r="Q30" s="115">
        <f>'[8]FY20 Initial Budget Allocat (2)'!Q30/'FY20 Initial Budget Allocat FTE'!Q$121</f>
        <v>0</v>
      </c>
      <c r="R30" s="115">
        <f>'[8]FY20 Initial Budget Allocat (2)'!R30/'FY20 Initial Budget Allocat FTE'!R$121</f>
        <v>1</v>
      </c>
      <c r="S30" s="115">
        <f>'[8]FY20 Initial Budget Allocat (2)'!S30/'FY20 Initial Budget Allocat FTE'!S$121</f>
        <v>1</v>
      </c>
      <c r="T30" s="115">
        <f>'[8]FY20 Initial Budget Allocat (2)'!T30/'FY20 Initial Budget Allocat FTE'!T$121</f>
        <v>7</v>
      </c>
      <c r="U30" s="115">
        <f>'[8]FY20 Initial Budget Allocat (2)'!U30/'FY20 Initial Budget Allocat FTE'!U$121</f>
        <v>1</v>
      </c>
      <c r="V30" s="115">
        <f>'[8]FY20 Initial Budget Allocat (2)'!V30/'FY20 Initial Budget Allocat FTE'!V$121</f>
        <v>0</v>
      </c>
      <c r="W30" s="115">
        <f>'[8]FY20 Initial Budget Allocat (2)'!W30/'FY20 Initial Budget Allocat FTE'!W$121</f>
        <v>0</v>
      </c>
      <c r="X30" s="115">
        <f>'[8]FY20 Initial Budget Allocat (2)'!X30/'FY20 Initial Budget Allocat FTE'!X$121</f>
        <v>0</v>
      </c>
      <c r="Y30" s="115">
        <f>'[8]FY20 Initial Budget Allocat (2)'!Y30/'FY20 Initial Budget Allocat FTE'!Y$121</f>
        <v>0</v>
      </c>
      <c r="Z30" s="115">
        <f>'[8]FY20 Initial Budget Allocat (2)'!Z30/'FY20 Initial Budget Allocat FTE'!Z$121</f>
        <v>0</v>
      </c>
      <c r="AA30" s="115">
        <f>'[8]FY20 Initial Budget Allocat (2)'!AA30/'FY20 Initial Budget Allocat FTE'!AA$121</f>
        <v>0</v>
      </c>
      <c r="AB30" s="115">
        <f>'[8]FY20 Initial Budget Allocat (2)'!AB30/'FY20 Initial Budget Allocat FTE'!AB$121</f>
        <v>0</v>
      </c>
      <c r="AC30" s="115">
        <f>'[8]FY20 Initial Budget Allocat (2)'!AC30/'FY20 Initial Budget Allocat FTE'!AC$121</f>
        <v>0</v>
      </c>
      <c r="AD30" s="115">
        <f>'[8]FY20 Initial Budget Allocat (2)'!AD30/'FY20 Initial Budget Allocat FTE'!AD$121</f>
        <v>0</v>
      </c>
      <c r="AE30" s="115">
        <f>'[8]FY20 Initial Budget Allocat (2)'!AE30/'FY20 Initial Budget Allocat FTE'!AE$121</f>
        <v>0</v>
      </c>
      <c r="AF30" s="115">
        <f>'[8]FY20 Initial Budget Allocat (2)'!AF30/'FY20 Initial Budget Allocat FTE'!AF$121</f>
        <v>0</v>
      </c>
      <c r="AG30" s="115">
        <f>'[8]FY20 Initial Budget Allocat (2)'!AG30/'FY20 Initial Budget Allocat FTE'!AG$121</f>
        <v>0</v>
      </c>
      <c r="AH30" s="115">
        <f>'[8]FY20 Initial Budget Allocat (2)'!AH30/'FY20 Initial Budget Allocat FTE'!AH$121</f>
        <v>0</v>
      </c>
      <c r="AI30" s="115">
        <f>'[8]FY20 Initial Budget Allocat (2)'!AI30/'FY20 Initial Budget Allocat FTE'!AI$121</f>
        <v>0</v>
      </c>
      <c r="AJ30" s="115">
        <f>'[8]FY20 Initial Budget Allocat (2)'!AJ30/'FY20 Initial Budget Allocat FTE'!AJ$121</f>
        <v>0</v>
      </c>
      <c r="AK30" s="115">
        <f>'[8]FY20 Initial Budget Allocat (2)'!AK30/'FY20 Initial Budget Allocat FTE'!AK$121</f>
        <v>0</v>
      </c>
      <c r="AL30" s="115">
        <f>'[8]FY20 Initial Budget Allocat (2)'!AL30/'FY20 Initial Budget Allocat FTE'!AL$121</f>
        <v>0</v>
      </c>
      <c r="AM30" s="115">
        <f>'[8]FY20 Initial Budget Allocat (2)'!AM30/'FY20 Initial Budget Allocat FTE'!AM$121</f>
        <v>0</v>
      </c>
      <c r="AN30" s="115">
        <f>'[8]FY20 Initial Budget Allocat (2)'!AN30/'FY20 Initial Budget Allocat FTE'!AN$121</f>
        <v>0</v>
      </c>
      <c r="AO30" s="115">
        <f>'[8]FY20 Initial Budget Allocat (2)'!AO30/'FY20 Initial Budget Allocat FTE'!AO$121</f>
        <v>0</v>
      </c>
      <c r="AP30" s="115">
        <f>'[8]FY20 Initial Budget Allocat (2)'!AP30/'FY20 Initial Budget Allocat FTE'!AP$121</f>
        <v>0</v>
      </c>
      <c r="AQ30" s="115">
        <f>'[8]FY20 Initial Budget Allocat (2)'!AQ30/'FY20 Initial Budget Allocat FTE'!AQ$121</f>
        <v>0</v>
      </c>
      <c r="AR30" s="115">
        <f>'[8]FY20 Initial Budget Allocat (2)'!AR30/'FY20 Initial Budget Allocat FTE'!AR$121</f>
        <v>0</v>
      </c>
      <c r="AS30" s="115">
        <f>'[8]FY20 Initial Budget Allocat (2)'!AS30/'FY20 Initial Budget Allocat FTE'!AS$121</f>
        <v>0</v>
      </c>
      <c r="AT30" s="115">
        <f>'[8]FY20 Initial Budget Allocat (2)'!AT30/'FY20 Initial Budget Allocat FTE'!AT$121</f>
        <v>0</v>
      </c>
      <c r="AU30" s="115">
        <f>'[8]FY20 Initial Budget Allocat (2)'!AU30/'FY20 Initial Budget Allocat FTE'!AU$121</f>
        <v>0</v>
      </c>
      <c r="AV30" s="115">
        <f>'[8]FY20 Initial Budget Allocat (2)'!AV30/'FY20 Initial Budget Allocat FTE'!AV$121</f>
        <v>30.416666666666668</v>
      </c>
      <c r="AW30" s="115">
        <f>'[8]FY20 Initial Budget Allocat (2)'!AW30/'FY20 Initial Budget Allocat FTE'!AW$121</f>
        <v>7.8951874717606927</v>
      </c>
      <c r="AX30" s="115">
        <f>'[8]FY20 Initial Budget Allocat (2)'!AX30/'FY20 Initial Budget Allocat FTE'!AX$121</f>
        <v>1</v>
      </c>
      <c r="AY30" s="115">
        <f>'[8]FY20 Initial Budget Allocat (2)'!AY30/'FY20 Initial Budget Allocat FTE'!AY$121</f>
        <v>3.0000000000000004</v>
      </c>
      <c r="AZ30" s="115">
        <f>'[8]FY20 Initial Budget Allocat (2)'!AZ30/'FY20 Initial Budget Allocat FTE'!AZ$121</f>
        <v>12.000000000000002</v>
      </c>
      <c r="BA30" s="115">
        <f>'[8]FY20 Initial Budget Allocat (2)'!BA30/'FY20 Initial Budget Allocat FTE'!BA$121</f>
        <v>5</v>
      </c>
      <c r="BB30" s="115">
        <f>'[8]FY20 Initial Budget Allocat (2)'!BB30/'FY20 Initial Budget Allocat FTE'!BB$121</f>
        <v>2</v>
      </c>
      <c r="BC30" s="115">
        <f>'[8]FY20 Initial Budget Allocat (2)'!BC30/'FY20 Initial Budget Allocat FTE'!BC$121</f>
        <v>0</v>
      </c>
      <c r="BD30" s="115">
        <f>'[8]FY20 Initial Budget Allocat (2)'!BD30/'FY20 Initial Budget Allocat FTE'!BD$121</f>
        <v>2</v>
      </c>
      <c r="BE30" s="115">
        <f>'[8]FY20 Initial Budget Allocat (2)'!BE30/'FY20 Initial Budget Allocat FTE'!BE$121</f>
        <v>0</v>
      </c>
      <c r="BF30" s="115">
        <f>'[8]FY20 Initial Budget Allocat (2)'!BF30/'FY20 Initial Budget Allocat FTE'!BF$121</f>
        <v>0</v>
      </c>
      <c r="BG30" s="115">
        <f>'[8]FY20 Initial Budget Allocat (2)'!BG30/'FY20 Initial Budget Allocat FTE'!BG$121</f>
        <v>0</v>
      </c>
      <c r="BH30" s="115">
        <f>'[8]FY20 Initial Budget Allocat (2)'!BH30/'FY20 Initial Budget Allocat FTE'!BH$121</f>
        <v>0</v>
      </c>
      <c r="BI30" s="115">
        <f>'[8]FY20 Initial Budget Allocat (2)'!BI30/'FY20 Initial Budget Allocat FTE'!BI$121</f>
        <v>0</v>
      </c>
      <c r="BJ30" s="79"/>
      <c r="BK30" s="79">
        <v>70000</v>
      </c>
      <c r="BL30" s="79"/>
      <c r="BM30" s="79">
        <v>293315.09000000003</v>
      </c>
      <c r="BN30" s="79">
        <v>4667.3999999999996</v>
      </c>
      <c r="BO30" s="79">
        <v>0</v>
      </c>
      <c r="BP30" s="115">
        <f>'[8]FY20 Initial Budget Allocat (2)'!BP30/'FY20 Initial Budget Allocat FTE'!BP$121</f>
        <v>0</v>
      </c>
      <c r="BQ30" s="115">
        <f>'[8]FY20 Initial Budget Allocat (2)'!BQ30/'FY20 Initial Budget Allocat FTE'!BQ$121</f>
        <v>0</v>
      </c>
      <c r="BR30" s="115">
        <f>'[8]FY20 Initial Budget Allocat (2)'!BR30/'FY20 Initial Budget Allocat FTE'!BR$121</f>
        <v>0</v>
      </c>
      <c r="BS30" s="115">
        <f>'[8]FY20 Initial Budget Allocat (2)'!BS30/'FY20 Initial Budget Allocat FTE'!BS$121</f>
        <v>0</v>
      </c>
      <c r="BT30" s="115">
        <f>'[8]FY20 Initial Budget Allocat (2)'!BT30/'FY20 Initial Budget Allocat FTE'!BT$121</f>
        <v>0</v>
      </c>
      <c r="BU30" s="115">
        <f>'[8]FY20 Initial Budget Allocat (2)'!BU30/'FY20 Initial Budget Allocat FTE'!BU$121</f>
        <v>0</v>
      </c>
      <c r="BV30" s="115">
        <f>'[8]FY20 Initial Budget Allocat (2)'!BV30/'FY20 Initial Budget Allocat FTE'!BV$121</f>
        <v>1</v>
      </c>
      <c r="BW30" s="80">
        <v>26000</v>
      </c>
      <c r="BX30" s="80">
        <v>23000</v>
      </c>
      <c r="BY30" s="80">
        <v>0</v>
      </c>
      <c r="BZ30" s="80">
        <v>45000</v>
      </c>
      <c r="CA30" s="115">
        <f>'[8]FY20 Initial Budget Allocat (2)'!CA30/'FY20 Initial Budget Allocat FTE'!CA$121</f>
        <v>0</v>
      </c>
      <c r="CB30" s="115">
        <f>'[8]FY20 Initial Budget Allocat (2)'!CB30/'FY20 Initial Budget Allocat FTE'!CB$121</f>
        <v>0</v>
      </c>
      <c r="CC30" s="80">
        <v>23700</v>
      </c>
      <c r="CD30" s="115">
        <f>'[8]FY20 Initial Budget Allocat (2)'!CD30/'FY20 Initial Budget Allocat FTE'!CD$121</f>
        <v>2</v>
      </c>
      <c r="CE30" s="115">
        <f>'[8]FY20 Initial Budget Allocat (2)'!CE30/'FY20 Initial Budget Allocat FTE'!CE$121</f>
        <v>0</v>
      </c>
      <c r="CF30" s="115">
        <f>'[8]FY20 Initial Budget Allocat (2)'!CF30/'FY20 Initial Budget Allocat FTE'!CF$121</f>
        <v>1</v>
      </c>
      <c r="CG30" s="115">
        <f>'[8]FY20 Initial Budget Allocat (2)'!CG30/'FY20 Initial Budget Allocat FTE'!CG$121</f>
        <v>1</v>
      </c>
      <c r="CH30" s="115">
        <f>'[8]FY20 Initial Budget Allocat (2)'!CH30/'FY20 Initial Budget Allocat FTE'!CH$121</f>
        <v>1</v>
      </c>
      <c r="CI30" s="115">
        <f>'[8]FY20 Initial Budget Allocat (2)'!CI30/'FY20 Initial Budget Allocat FTE'!CI$121</f>
        <v>0</v>
      </c>
      <c r="CJ30" s="115">
        <f>'[8]FY20 Initial Budget Allocat (2)'!CJ30/'FY20 Initial Budget Allocat FTE'!CJ$121</f>
        <v>0</v>
      </c>
      <c r="CK30" s="79">
        <v>0</v>
      </c>
      <c r="CL30" s="79">
        <v>0</v>
      </c>
      <c r="CM30" s="79">
        <v>590096.19999999995</v>
      </c>
      <c r="CN30" s="79">
        <v>0</v>
      </c>
      <c r="CO30" s="115">
        <f>'[8]FY20 Initial Budget Allocat (2)'!CO30/'FY20 Initial Budget Allocat FTE'!CO$121</f>
        <v>1</v>
      </c>
      <c r="CP30" s="79">
        <v>0</v>
      </c>
      <c r="CQ30" s="79">
        <v>22621.538461538461</v>
      </c>
      <c r="CR30" s="79">
        <v>0</v>
      </c>
      <c r="CS30" s="79">
        <v>97949.954545454559</v>
      </c>
      <c r="CT30" s="115">
        <f>'[8]FY20 Initial Budget Allocat (2)'!CT30/'FY20 Initial Budget Allocat FTE'!CT$121</f>
        <v>0</v>
      </c>
      <c r="CU30" s="115">
        <f>'[8]FY20 Initial Budget Allocat (2)'!CU30/'FY20 Initial Budget Allocat FTE'!CU$121</f>
        <v>1</v>
      </c>
      <c r="CV30" s="79"/>
      <c r="CW30" s="79">
        <v>0</v>
      </c>
      <c r="CX30" s="115">
        <f>'[8]FY20 Initial Budget Allocat (2)'!CX30/'FY20 Initial Budget Allocat FTE'!CX$121</f>
        <v>0</v>
      </c>
      <c r="CY30" s="79">
        <v>5000</v>
      </c>
      <c r="CZ30" s="91">
        <v>115407</v>
      </c>
      <c r="DA30" s="79">
        <v>73000</v>
      </c>
      <c r="DB30" s="79">
        <v>138746.13118393024</v>
      </c>
      <c r="DC30" s="82">
        <v>0</v>
      </c>
      <c r="DD30" s="79">
        <v>0</v>
      </c>
      <c r="DE30" s="79"/>
      <c r="DF30" s="79">
        <v>24300</v>
      </c>
      <c r="DG30" s="79">
        <v>0</v>
      </c>
      <c r="DH30" s="83">
        <v>0</v>
      </c>
      <c r="DI30" s="79">
        <v>14751.770142366748</v>
      </c>
      <c r="DJ30" s="79">
        <v>10762499.480125673</v>
      </c>
      <c r="DK30" s="84">
        <v>6292.5198743268847</v>
      </c>
      <c r="DL30" s="84">
        <v>0</v>
      </c>
      <c r="DM30" s="84">
        <f t="shared" si="0"/>
        <v>10768792</v>
      </c>
      <c r="DN30" s="116">
        <f t="shared" si="1"/>
        <v>0</v>
      </c>
      <c r="DO30" s="116">
        <f t="shared" si="2"/>
        <v>0</v>
      </c>
      <c r="DP30" s="116">
        <f t="shared" si="3"/>
        <v>38.311854138427364</v>
      </c>
      <c r="DQ30" s="116">
        <f t="shared" si="4"/>
        <v>18</v>
      </c>
      <c r="DR30" s="116">
        <f t="shared" si="5"/>
        <v>5</v>
      </c>
    </row>
    <row r="31" spans="1:122" x14ac:dyDescent="0.25">
      <c r="A31" s="76">
        <v>457</v>
      </c>
      <c r="B31" s="76" t="s">
        <v>169</v>
      </c>
      <c r="C31" s="77" t="s">
        <v>138</v>
      </c>
      <c r="D31" s="41">
        <v>6</v>
      </c>
      <c r="E31" s="78">
        <v>754</v>
      </c>
      <c r="F31" s="78">
        <v>557.2361445783132</v>
      </c>
      <c r="G31" s="115">
        <f>'[8]FY20 Initial Budget Allocat (2)'!G31/'FY20 Initial Budget Allocat FTE'!G$121</f>
        <v>1</v>
      </c>
      <c r="H31" s="115">
        <f>'[8]FY20 Initial Budget Allocat (2)'!H31/'FY20 Initial Budget Allocat FTE'!H$121</f>
        <v>1</v>
      </c>
      <c r="I31" s="115">
        <f>'[8]FY20 Initial Budget Allocat (2)'!I31/'FY20 Initial Budget Allocat FTE'!I$121</f>
        <v>2.5</v>
      </c>
      <c r="J31" s="115">
        <f>'[8]FY20 Initial Budget Allocat (2)'!J31/'FY20 Initial Budget Allocat FTE'!J$121</f>
        <v>0</v>
      </c>
      <c r="K31" s="115">
        <f>'[8]FY20 Initial Budget Allocat (2)'!K31/'FY20 Initial Budget Allocat FTE'!K$121</f>
        <v>3.4999880070430671</v>
      </c>
      <c r="L31" s="115">
        <f>'[8]FY20 Initial Budget Allocat (2)'!L31/'FY20 Initial Budget Allocat FTE'!L$121</f>
        <v>1</v>
      </c>
      <c r="M31" s="115">
        <f>'[8]FY20 Initial Budget Allocat (2)'!M31/'FY20 Initial Budget Allocat FTE'!M$121</f>
        <v>1</v>
      </c>
      <c r="N31" s="115">
        <f>'[8]FY20 Initial Budget Allocat (2)'!N31/'FY20 Initial Budget Allocat FTE'!N$121</f>
        <v>1.9</v>
      </c>
      <c r="O31" s="115">
        <f>'[8]FY20 Initial Budget Allocat (2)'!O31/'FY20 Initial Budget Allocat FTE'!O$121</f>
        <v>1</v>
      </c>
      <c r="P31" s="115">
        <f>'[8]FY20 Initial Budget Allocat (2)'!P31/'FY20 Initial Budget Allocat FTE'!P$121</f>
        <v>1</v>
      </c>
      <c r="Q31" s="115">
        <f>'[8]FY20 Initial Budget Allocat (2)'!Q31/'FY20 Initial Budget Allocat FTE'!Q$121</f>
        <v>0</v>
      </c>
      <c r="R31" s="115">
        <f>'[8]FY20 Initial Budget Allocat (2)'!R31/'FY20 Initial Budget Allocat FTE'!R$121</f>
        <v>1</v>
      </c>
      <c r="S31" s="115">
        <f>'[8]FY20 Initial Budget Allocat (2)'!S31/'FY20 Initial Budget Allocat FTE'!S$121</f>
        <v>1</v>
      </c>
      <c r="T31" s="115">
        <f>'[8]FY20 Initial Budget Allocat (2)'!T31/'FY20 Initial Budget Allocat FTE'!T$121</f>
        <v>7</v>
      </c>
      <c r="U31" s="115">
        <f>'[8]FY20 Initial Budget Allocat (2)'!U31/'FY20 Initial Budget Allocat FTE'!U$121</f>
        <v>1</v>
      </c>
      <c r="V31" s="115">
        <f>'[8]FY20 Initial Budget Allocat (2)'!V31/'FY20 Initial Budget Allocat FTE'!V$121</f>
        <v>0</v>
      </c>
      <c r="W31" s="115">
        <f>'[8]FY20 Initial Budget Allocat (2)'!W31/'FY20 Initial Budget Allocat FTE'!W$121</f>
        <v>0</v>
      </c>
      <c r="X31" s="115">
        <f>'[8]FY20 Initial Budget Allocat (2)'!X31/'FY20 Initial Budget Allocat FTE'!X$121</f>
        <v>0</v>
      </c>
      <c r="Y31" s="115">
        <f>'[8]FY20 Initial Budget Allocat (2)'!Y31/'FY20 Initial Budget Allocat FTE'!Y$121</f>
        <v>0</v>
      </c>
      <c r="Z31" s="115">
        <f>'[8]FY20 Initial Budget Allocat (2)'!Z31/'FY20 Initial Budget Allocat FTE'!Z$121</f>
        <v>0</v>
      </c>
      <c r="AA31" s="115">
        <f>'[8]FY20 Initial Budget Allocat (2)'!AA31/'FY20 Initial Budget Allocat FTE'!AA$121</f>
        <v>0</v>
      </c>
      <c r="AB31" s="115">
        <f>'[8]FY20 Initial Budget Allocat (2)'!AB31/'FY20 Initial Budget Allocat FTE'!AB$121</f>
        <v>0</v>
      </c>
      <c r="AC31" s="115">
        <f>'[8]FY20 Initial Budget Allocat (2)'!AC31/'FY20 Initial Budget Allocat FTE'!AC$121</f>
        <v>0</v>
      </c>
      <c r="AD31" s="115">
        <f>'[8]FY20 Initial Budget Allocat (2)'!AD31/'FY20 Initial Budget Allocat FTE'!AD$121</f>
        <v>0</v>
      </c>
      <c r="AE31" s="115">
        <f>'[8]FY20 Initial Budget Allocat (2)'!AE31/'FY20 Initial Budget Allocat FTE'!AE$121</f>
        <v>0</v>
      </c>
      <c r="AF31" s="115">
        <f>'[8]FY20 Initial Budget Allocat (2)'!AF31/'FY20 Initial Budget Allocat FTE'!AF$121</f>
        <v>0</v>
      </c>
      <c r="AG31" s="115">
        <f>'[8]FY20 Initial Budget Allocat (2)'!AG31/'FY20 Initial Budget Allocat FTE'!AG$121</f>
        <v>0</v>
      </c>
      <c r="AH31" s="115">
        <f>'[8]FY20 Initial Budget Allocat (2)'!AH31/'FY20 Initial Budget Allocat FTE'!AH$121</f>
        <v>0</v>
      </c>
      <c r="AI31" s="115">
        <f>'[8]FY20 Initial Budget Allocat (2)'!AI31/'FY20 Initial Budget Allocat FTE'!AI$121</f>
        <v>0</v>
      </c>
      <c r="AJ31" s="115">
        <f>'[8]FY20 Initial Budget Allocat (2)'!AJ31/'FY20 Initial Budget Allocat FTE'!AJ$121</f>
        <v>0</v>
      </c>
      <c r="AK31" s="115">
        <f>'[8]FY20 Initial Budget Allocat (2)'!AK31/'FY20 Initial Budget Allocat FTE'!AK$121</f>
        <v>0</v>
      </c>
      <c r="AL31" s="115">
        <f>'[8]FY20 Initial Budget Allocat (2)'!AL31/'FY20 Initial Budget Allocat FTE'!AL$121</f>
        <v>0</v>
      </c>
      <c r="AM31" s="115">
        <f>'[8]FY20 Initial Budget Allocat (2)'!AM31/'FY20 Initial Budget Allocat FTE'!AM$121</f>
        <v>0</v>
      </c>
      <c r="AN31" s="115">
        <f>'[8]FY20 Initial Budget Allocat (2)'!AN31/'FY20 Initial Budget Allocat FTE'!AN$121</f>
        <v>0</v>
      </c>
      <c r="AO31" s="115">
        <f>'[8]FY20 Initial Budget Allocat (2)'!AO31/'FY20 Initial Budget Allocat FTE'!AO$121</f>
        <v>0</v>
      </c>
      <c r="AP31" s="115">
        <f>'[8]FY20 Initial Budget Allocat (2)'!AP31/'FY20 Initial Budget Allocat FTE'!AP$121</f>
        <v>0</v>
      </c>
      <c r="AQ31" s="115">
        <f>'[8]FY20 Initial Budget Allocat (2)'!AQ31/'FY20 Initial Budget Allocat FTE'!AQ$121</f>
        <v>0</v>
      </c>
      <c r="AR31" s="115">
        <f>'[8]FY20 Initial Budget Allocat (2)'!AR31/'FY20 Initial Budget Allocat FTE'!AR$121</f>
        <v>0</v>
      </c>
      <c r="AS31" s="115">
        <f>'[8]FY20 Initial Budget Allocat (2)'!AS31/'FY20 Initial Budget Allocat FTE'!AS$121</f>
        <v>0</v>
      </c>
      <c r="AT31" s="115">
        <f>'[8]FY20 Initial Budget Allocat (2)'!AT31/'FY20 Initial Budget Allocat FTE'!AT$121</f>
        <v>0</v>
      </c>
      <c r="AU31" s="115">
        <f>'[8]FY20 Initial Budget Allocat (2)'!AU31/'FY20 Initial Budget Allocat FTE'!AU$121</f>
        <v>0</v>
      </c>
      <c r="AV31" s="115">
        <f>'[8]FY20 Initial Budget Allocat (2)'!AV31/'FY20 Initial Budget Allocat FTE'!AV$121</f>
        <v>31.416666666666668</v>
      </c>
      <c r="AW31" s="115">
        <f>'[8]FY20 Initial Budget Allocat (2)'!AW31/'FY20 Initial Budget Allocat FTE'!AW$121</f>
        <v>5.2329537795450198</v>
      </c>
      <c r="AX31" s="115">
        <f>'[8]FY20 Initial Budget Allocat (2)'!AX31/'FY20 Initial Budget Allocat FTE'!AX$121</f>
        <v>2</v>
      </c>
      <c r="AY31" s="115">
        <f>'[8]FY20 Initial Budget Allocat (2)'!AY31/'FY20 Initial Budget Allocat FTE'!AY$121</f>
        <v>5</v>
      </c>
      <c r="AZ31" s="115">
        <f>'[8]FY20 Initial Budget Allocat (2)'!AZ31/'FY20 Initial Budget Allocat FTE'!AZ$121</f>
        <v>20</v>
      </c>
      <c r="BA31" s="115">
        <f>'[8]FY20 Initial Budget Allocat (2)'!BA31/'FY20 Initial Budget Allocat FTE'!BA$121</f>
        <v>11</v>
      </c>
      <c r="BB31" s="115">
        <f>'[8]FY20 Initial Budget Allocat (2)'!BB31/'FY20 Initial Budget Allocat FTE'!BB$121</f>
        <v>1</v>
      </c>
      <c r="BC31" s="115">
        <f>'[8]FY20 Initial Budget Allocat (2)'!BC31/'FY20 Initial Budget Allocat FTE'!BC$121</f>
        <v>0</v>
      </c>
      <c r="BD31" s="115">
        <f>'[8]FY20 Initial Budget Allocat (2)'!BD31/'FY20 Initial Budget Allocat FTE'!BD$121</f>
        <v>1</v>
      </c>
      <c r="BE31" s="115">
        <f>'[8]FY20 Initial Budget Allocat (2)'!BE31/'FY20 Initial Budget Allocat FTE'!BE$121</f>
        <v>0</v>
      </c>
      <c r="BF31" s="115">
        <f>'[8]FY20 Initial Budget Allocat (2)'!BF31/'FY20 Initial Budget Allocat FTE'!BF$121</f>
        <v>0</v>
      </c>
      <c r="BG31" s="115">
        <f>'[8]FY20 Initial Budget Allocat (2)'!BG31/'FY20 Initial Budget Allocat FTE'!BG$121</f>
        <v>0</v>
      </c>
      <c r="BH31" s="115">
        <f>'[8]FY20 Initial Budget Allocat (2)'!BH31/'FY20 Initial Budget Allocat FTE'!BH$121</f>
        <v>0</v>
      </c>
      <c r="BI31" s="115">
        <f>'[8]FY20 Initial Budget Allocat (2)'!BI31/'FY20 Initial Budget Allocat FTE'!BI$121</f>
        <v>0</v>
      </c>
      <c r="BJ31" s="79"/>
      <c r="BK31" s="79">
        <v>65000</v>
      </c>
      <c r="BL31" s="79"/>
      <c r="BM31" s="79">
        <v>365574.24</v>
      </c>
      <c r="BN31" s="79">
        <v>5817.23</v>
      </c>
      <c r="BO31" s="79">
        <v>0</v>
      </c>
      <c r="BP31" s="115">
        <f>'[8]FY20 Initial Budget Allocat (2)'!BP31/'FY20 Initial Budget Allocat FTE'!BP$121</f>
        <v>1</v>
      </c>
      <c r="BQ31" s="115">
        <f>'[8]FY20 Initial Budget Allocat (2)'!BQ31/'FY20 Initial Budget Allocat FTE'!BQ$121</f>
        <v>0</v>
      </c>
      <c r="BR31" s="115">
        <f>'[8]FY20 Initial Budget Allocat (2)'!BR31/'FY20 Initial Budget Allocat FTE'!BR$121</f>
        <v>0</v>
      </c>
      <c r="BS31" s="115">
        <f>'[8]FY20 Initial Budget Allocat (2)'!BS31/'FY20 Initial Budget Allocat FTE'!BS$121</f>
        <v>1</v>
      </c>
      <c r="BT31" s="115">
        <f>'[8]FY20 Initial Budget Allocat (2)'!BT31/'FY20 Initial Budget Allocat FTE'!BT$121</f>
        <v>0</v>
      </c>
      <c r="BU31" s="115">
        <f>'[8]FY20 Initial Budget Allocat (2)'!BU31/'FY20 Initial Budget Allocat FTE'!BU$121</f>
        <v>0</v>
      </c>
      <c r="BV31" s="115">
        <f>'[8]FY20 Initial Budget Allocat (2)'!BV31/'FY20 Initial Budget Allocat FTE'!BV$121</f>
        <v>1</v>
      </c>
      <c r="BW31" s="80">
        <v>21840</v>
      </c>
      <c r="BX31" s="80">
        <v>37160</v>
      </c>
      <c r="BY31" s="80">
        <v>0</v>
      </c>
      <c r="BZ31" s="80">
        <v>55000</v>
      </c>
      <c r="CA31" s="115">
        <f>'[8]FY20 Initial Budget Allocat (2)'!CA31/'FY20 Initial Budget Allocat FTE'!CA$121</f>
        <v>0</v>
      </c>
      <c r="CB31" s="115">
        <f>'[8]FY20 Initial Budget Allocat (2)'!CB31/'FY20 Initial Budget Allocat FTE'!CB$121</f>
        <v>1</v>
      </c>
      <c r="CC31" s="80">
        <v>23700</v>
      </c>
      <c r="CD31" s="115">
        <f>'[8]FY20 Initial Budget Allocat (2)'!CD31/'FY20 Initial Budget Allocat FTE'!CD$121</f>
        <v>2</v>
      </c>
      <c r="CE31" s="115">
        <f>'[8]FY20 Initial Budget Allocat (2)'!CE31/'FY20 Initial Budget Allocat FTE'!CE$121</f>
        <v>0</v>
      </c>
      <c r="CF31" s="115">
        <f>'[8]FY20 Initial Budget Allocat (2)'!CF31/'FY20 Initial Budget Allocat FTE'!CF$121</f>
        <v>1</v>
      </c>
      <c r="CG31" s="115">
        <f>'[8]FY20 Initial Budget Allocat (2)'!CG31/'FY20 Initial Budget Allocat FTE'!CG$121</f>
        <v>0</v>
      </c>
      <c r="CH31" s="115">
        <f>'[8]FY20 Initial Budget Allocat (2)'!CH31/'FY20 Initial Budget Allocat FTE'!CH$121</f>
        <v>0</v>
      </c>
      <c r="CI31" s="115">
        <f>'[8]FY20 Initial Budget Allocat (2)'!CI31/'FY20 Initial Budget Allocat FTE'!CI$121</f>
        <v>0</v>
      </c>
      <c r="CJ31" s="115">
        <f>'[8]FY20 Initial Budget Allocat (2)'!CJ31/'FY20 Initial Budget Allocat FTE'!CJ$121</f>
        <v>0</v>
      </c>
      <c r="CK31" s="79">
        <v>0</v>
      </c>
      <c r="CL31" s="79">
        <v>0</v>
      </c>
      <c r="CM31" s="79">
        <v>590096.19999999995</v>
      </c>
      <c r="CN31" s="79">
        <v>0</v>
      </c>
      <c r="CO31" s="115">
        <f>'[8]FY20 Initial Budget Allocat (2)'!CO31/'FY20 Initial Budget Allocat FTE'!CO$121</f>
        <v>1</v>
      </c>
      <c r="CP31" s="79">
        <v>0</v>
      </c>
      <c r="CQ31" s="79">
        <v>11144.722891566264</v>
      </c>
      <c r="CR31" s="79">
        <v>0</v>
      </c>
      <c r="CS31" s="79">
        <v>101281.40909090909</v>
      </c>
      <c r="CT31" s="115">
        <f>'[8]FY20 Initial Budget Allocat (2)'!CT31/'FY20 Initial Budget Allocat FTE'!CT$121</f>
        <v>0</v>
      </c>
      <c r="CU31" s="115">
        <f>'[8]FY20 Initial Budget Allocat (2)'!CU31/'FY20 Initial Budget Allocat FTE'!CU$121</f>
        <v>1</v>
      </c>
      <c r="CV31" s="79"/>
      <c r="CW31" s="79">
        <v>0</v>
      </c>
      <c r="CX31" s="115">
        <f>'[8]FY20 Initial Budget Allocat (2)'!CX31/'FY20 Initial Budget Allocat FTE'!CX$121</f>
        <v>0</v>
      </c>
      <c r="CY31" s="79">
        <v>0</v>
      </c>
      <c r="CZ31" s="79">
        <v>0</v>
      </c>
      <c r="DA31" s="79">
        <v>75400</v>
      </c>
      <c r="DB31" s="79">
        <v>158891.60987946537</v>
      </c>
      <c r="DC31" s="82">
        <v>0</v>
      </c>
      <c r="DD31" s="79">
        <v>44861</v>
      </c>
      <c r="DE31" s="79"/>
      <c r="DF31" s="79">
        <v>39900</v>
      </c>
      <c r="DG31" s="79">
        <v>0</v>
      </c>
      <c r="DH31" s="83">
        <v>0</v>
      </c>
      <c r="DI31" s="79">
        <v>15990.231493983378</v>
      </c>
      <c r="DJ31" s="79">
        <v>12056634.546463469</v>
      </c>
      <c r="DK31" s="84">
        <v>105202.45353653096</v>
      </c>
      <c r="DL31" s="84">
        <v>0</v>
      </c>
      <c r="DM31" s="84">
        <f t="shared" si="0"/>
        <v>12161837</v>
      </c>
      <c r="DN31" s="116">
        <f t="shared" si="1"/>
        <v>0</v>
      </c>
      <c r="DO31" s="116">
        <f t="shared" si="2"/>
        <v>0</v>
      </c>
      <c r="DP31" s="116">
        <f t="shared" si="3"/>
        <v>36.649620446211685</v>
      </c>
      <c r="DQ31" s="116">
        <f t="shared" si="4"/>
        <v>28</v>
      </c>
      <c r="DR31" s="116">
        <f t="shared" si="5"/>
        <v>11</v>
      </c>
    </row>
    <row r="32" spans="1:122" x14ac:dyDescent="0.25">
      <c r="A32" s="76">
        <v>232</v>
      </c>
      <c r="B32" s="76" t="s">
        <v>170</v>
      </c>
      <c r="C32" s="77" t="s">
        <v>135</v>
      </c>
      <c r="D32" s="41">
        <v>3</v>
      </c>
      <c r="E32" s="78">
        <v>471</v>
      </c>
      <c r="F32" s="78">
        <v>33.684873949579831</v>
      </c>
      <c r="G32" s="115">
        <f>'[8]FY20 Initial Budget Allocat (2)'!G32/'FY20 Initial Budget Allocat FTE'!G$121</f>
        <v>1</v>
      </c>
      <c r="H32" s="115">
        <f>'[8]FY20 Initial Budget Allocat (2)'!H32/'FY20 Initial Budget Allocat FTE'!H$121</f>
        <v>1</v>
      </c>
      <c r="I32" s="115">
        <f>'[8]FY20 Initial Budget Allocat (2)'!I32/'FY20 Initial Budget Allocat FTE'!I$121</f>
        <v>1.2</v>
      </c>
      <c r="J32" s="115">
        <f>'[8]FY20 Initial Budget Allocat (2)'!J32/'FY20 Initial Budget Allocat FTE'!J$121</f>
        <v>0</v>
      </c>
      <c r="K32" s="115">
        <f>'[8]FY20 Initial Budget Allocat (2)'!K32/'FY20 Initial Budget Allocat FTE'!K$121</f>
        <v>0</v>
      </c>
      <c r="L32" s="115">
        <f>'[8]FY20 Initial Budget Allocat (2)'!L32/'FY20 Initial Budget Allocat FTE'!L$121</f>
        <v>1</v>
      </c>
      <c r="M32" s="115">
        <f>'[8]FY20 Initial Budget Allocat (2)'!M32/'FY20 Initial Budget Allocat FTE'!M$121</f>
        <v>1</v>
      </c>
      <c r="N32" s="115">
        <f>'[8]FY20 Initial Budget Allocat (2)'!N32/'FY20 Initial Budget Allocat FTE'!N$121</f>
        <v>1.2</v>
      </c>
      <c r="O32" s="115">
        <f>'[8]FY20 Initial Budget Allocat (2)'!O32/'FY20 Initial Budget Allocat FTE'!O$121</f>
        <v>0</v>
      </c>
      <c r="P32" s="115">
        <f>'[8]FY20 Initial Budget Allocat (2)'!P32/'FY20 Initial Budget Allocat FTE'!P$121</f>
        <v>0</v>
      </c>
      <c r="Q32" s="115">
        <f>'[8]FY20 Initial Budget Allocat (2)'!Q32/'FY20 Initial Budget Allocat FTE'!Q$121</f>
        <v>0</v>
      </c>
      <c r="R32" s="115">
        <f>'[8]FY20 Initial Budget Allocat (2)'!R32/'FY20 Initial Budget Allocat FTE'!R$121</f>
        <v>1</v>
      </c>
      <c r="S32" s="115">
        <f>'[8]FY20 Initial Budget Allocat (2)'!S32/'FY20 Initial Budget Allocat FTE'!S$121</f>
        <v>1</v>
      </c>
      <c r="T32" s="115">
        <f>'[8]FY20 Initial Budget Allocat (2)'!T32/'FY20 Initial Budget Allocat FTE'!T$121</f>
        <v>2</v>
      </c>
      <c r="U32" s="115">
        <f>'[8]FY20 Initial Budget Allocat (2)'!U32/'FY20 Initial Budget Allocat FTE'!U$121</f>
        <v>1</v>
      </c>
      <c r="V32" s="115">
        <f>'[8]FY20 Initial Budget Allocat (2)'!V32/'FY20 Initial Budget Allocat FTE'!V$121</f>
        <v>1</v>
      </c>
      <c r="W32" s="115">
        <f>'[8]FY20 Initial Budget Allocat (2)'!W32/'FY20 Initial Budget Allocat FTE'!W$121</f>
        <v>1</v>
      </c>
      <c r="X32" s="115">
        <f>'[8]FY20 Initial Budget Allocat (2)'!X32/'FY20 Initial Budget Allocat FTE'!X$121</f>
        <v>1</v>
      </c>
      <c r="Y32" s="115">
        <f>'[8]FY20 Initial Budget Allocat (2)'!Y32/'FY20 Initial Budget Allocat FTE'!Y$121</f>
        <v>1.5000000000000002</v>
      </c>
      <c r="Z32" s="115">
        <f>'[8]FY20 Initial Budget Allocat (2)'!Z32/'FY20 Initial Budget Allocat FTE'!Z$121</f>
        <v>0</v>
      </c>
      <c r="AA32" s="115">
        <f>'[8]FY20 Initial Budget Allocat (2)'!AA32/'FY20 Initial Budget Allocat FTE'!AA$121</f>
        <v>0</v>
      </c>
      <c r="AB32" s="115">
        <f>'[8]FY20 Initial Budget Allocat (2)'!AB32/'FY20 Initial Budget Allocat FTE'!AB$121</f>
        <v>0</v>
      </c>
      <c r="AC32" s="115">
        <f>'[8]FY20 Initial Budget Allocat (2)'!AC32/'FY20 Initial Budget Allocat FTE'!AC$121</f>
        <v>0</v>
      </c>
      <c r="AD32" s="115">
        <f>'[8]FY20 Initial Budget Allocat (2)'!AD32/'FY20 Initial Budget Allocat FTE'!AD$121</f>
        <v>0</v>
      </c>
      <c r="AE32" s="115">
        <f>'[8]FY20 Initial Budget Allocat (2)'!AE32/'FY20 Initial Budget Allocat FTE'!AE$121</f>
        <v>2</v>
      </c>
      <c r="AF32" s="115">
        <f>'[8]FY20 Initial Budget Allocat (2)'!AF32/'FY20 Initial Budget Allocat FTE'!AF$121</f>
        <v>2</v>
      </c>
      <c r="AG32" s="115">
        <f>'[8]FY20 Initial Budget Allocat (2)'!AG32/'FY20 Initial Budget Allocat FTE'!AG$121</f>
        <v>3.0000000000000004</v>
      </c>
      <c r="AH32" s="115">
        <f>'[8]FY20 Initial Budget Allocat (2)'!AH32/'FY20 Initial Budget Allocat FTE'!AH$121</f>
        <v>3</v>
      </c>
      <c r="AI32" s="115">
        <f>'[8]FY20 Initial Budget Allocat (2)'!AI32/'FY20 Initial Budget Allocat FTE'!AI$121</f>
        <v>3.0000000000000004</v>
      </c>
      <c r="AJ32" s="115">
        <f>'[8]FY20 Initial Budget Allocat (2)'!AJ32/'FY20 Initial Budget Allocat FTE'!AJ$121</f>
        <v>3.0000000000000004</v>
      </c>
      <c r="AK32" s="115">
        <f>'[8]FY20 Initial Budget Allocat (2)'!AK32/'FY20 Initial Budget Allocat FTE'!AK$121</f>
        <v>4</v>
      </c>
      <c r="AL32" s="115">
        <f>'[8]FY20 Initial Budget Allocat (2)'!AL32/'FY20 Initial Budget Allocat FTE'!AL$121</f>
        <v>3.0000000000000004</v>
      </c>
      <c r="AM32" s="115">
        <f>'[8]FY20 Initial Budget Allocat (2)'!AM32/'FY20 Initial Budget Allocat FTE'!AM$121</f>
        <v>3.0000000000000004</v>
      </c>
      <c r="AN32" s="115">
        <f>'[8]FY20 Initial Budget Allocat (2)'!AN32/'FY20 Initial Budget Allocat FTE'!AN$121</f>
        <v>0</v>
      </c>
      <c r="AO32" s="115">
        <f>'[8]FY20 Initial Budget Allocat (2)'!AO32/'FY20 Initial Budget Allocat FTE'!AO$121</f>
        <v>0</v>
      </c>
      <c r="AP32" s="115">
        <f>'[8]FY20 Initial Budget Allocat (2)'!AP32/'FY20 Initial Budget Allocat FTE'!AP$121</f>
        <v>0</v>
      </c>
      <c r="AQ32" s="115">
        <f>'[8]FY20 Initial Budget Allocat (2)'!AQ32/'FY20 Initial Budget Allocat FTE'!AQ$121</f>
        <v>0</v>
      </c>
      <c r="AR32" s="115">
        <f>'[8]FY20 Initial Budget Allocat (2)'!AR32/'FY20 Initial Budget Allocat FTE'!AR$121</f>
        <v>0</v>
      </c>
      <c r="AS32" s="115">
        <f>'[8]FY20 Initial Budget Allocat (2)'!AS32/'FY20 Initial Budget Allocat FTE'!AS$121</f>
        <v>0</v>
      </c>
      <c r="AT32" s="115">
        <f>'[8]FY20 Initial Budget Allocat (2)'!AT32/'FY20 Initial Budget Allocat FTE'!AT$121</f>
        <v>0</v>
      </c>
      <c r="AU32" s="115">
        <f>'[8]FY20 Initial Budget Allocat (2)'!AU32/'FY20 Initial Budget Allocat FTE'!AU$121</f>
        <v>0</v>
      </c>
      <c r="AV32" s="115">
        <f>'[8]FY20 Initial Budget Allocat (2)'!AV32/'FY20 Initial Budget Allocat FTE'!AV$121</f>
        <v>0</v>
      </c>
      <c r="AW32" s="115">
        <f>'[8]FY20 Initial Budget Allocat (2)'!AW32/'FY20 Initial Budget Allocat FTE'!AW$121</f>
        <v>0</v>
      </c>
      <c r="AX32" s="115">
        <f>'[8]FY20 Initial Budget Allocat (2)'!AX32/'FY20 Initial Budget Allocat FTE'!AX$121</f>
        <v>0.5</v>
      </c>
      <c r="AY32" s="115">
        <f>'[8]FY20 Initial Budget Allocat (2)'!AY32/'FY20 Initial Budget Allocat FTE'!AY$121</f>
        <v>1</v>
      </c>
      <c r="AZ32" s="115">
        <f>'[8]FY20 Initial Budget Allocat (2)'!AZ32/'FY20 Initial Budget Allocat FTE'!AZ$121</f>
        <v>4</v>
      </c>
      <c r="BA32" s="115">
        <f>'[8]FY20 Initial Budget Allocat (2)'!BA32/'FY20 Initial Budget Allocat FTE'!BA$121</f>
        <v>1</v>
      </c>
      <c r="BB32" s="115">
        <f>'[8]FY20 Initial Budget Allocat (2)'!BB32/'FY20 Initial Budget Allocat FTE'!BB$121</f>
        <v>0</v>
      </c>
      <c r="BC32" s="115">
        <f>'[8]FY20 Initial Budget Allocat (2)'!BC32/'FY20 Initial Budget Allocat FTE'!BC$121</f>
        <v>0</v>
      </c>
      <c r="BD32" s="115">
        <f>'[8]FY20 Initial Budget Allocat (2)'!BD32/'FY20 Initial Budget Allocat FTE'!BD$121</f>
        <v>3.0000000000000004</v>
      </c>
      <c r="BE32" s="115">
        <f>'[8]FY20 Initial Budget Allocat (2)'!BE32/'FY20 Initial Budget Allocat FTE'!BE$121</f>
        <v>0</v>
      </c>
      <c r="BF32" s="115">
        <f>'[8]FY20 Initial Budget Allocat (2)'!BF32/'FY20 Initial Budget Allocat FTE'!BF$121</f>
        <v>0</v>
      </c>
      <c r="BG32" s="115">
        <f>'[8]FY20 Initial Budget Allocat (2)'!BG32/'FY20 Initial Budget Allocat FTE'!BG$121</f>
        <v>0</v>
      </c>
      <c r="BH32" s="115">
        <f>'[8]FY20 Initial Budget Allocat (2)'!BH32/'FY20 Initial Budget Allocat FTE'!BH$121</f>
        <v>0</v>
      </c>
      <c r="BI32" s="115">
        <f>'[8]FY20 Initial Budget Allocat (2)'!BI32/'FY20 Initial Budget Allocat FTE'!BI$121</f>
        <v>0</v>
      </c>
      <c r="BJ32" s="79"/>
      <c r="BK32" s="79">
        <v>0</v>
      </c>
      <c r="BL32" s="79"/>
      <c r="BM32" s="79">
        <v>0</v>
      </c>
      <c r="BN32" s="79">
        <v>0</v>
      </c>
      <c r="BO32" s="79">
        <v>11900</v>
      </c>
      <c r="BP32" s="115">
        <f>'[8]FY20 Initial Budget Allocat (2)'!BP32/'FY20 Initial Budget Allocat FTE'!BP$121</f>
        <v>0</v>
      </c>
      <c r="BQ32" s="115">
        <f>'[8]FY20 Initial Budget Allocat (2)'!BQ32/'FY20 Initial Budget Allocat FTE'!BQ$121</f>
        <v>0</v>
      </c>
      <c r="BR32" s="115">
        <f>'[8]FY20 Initial Budget Allocat (2)'!BR32/'FY20 Initial Budget Allocat FTE'!BR$121</f>
        <v>0</v>
      </c>
      <c r="BS32" s="115">
        <f>'[8]FY20 Initial Budget Allocat (2)'!BS32/'FY20 Initial Budget Allocat FTE'!BS$121</f>
        <v>0</v>
      </c>
      <c r="BT32" s="115">
        <f>'[8]FY20 Initial Budget Allocat (2)'!BT32/'FY20 Initial Budget Allocat FTE'!BT$121</f>
        <v>0</v>
      </c>
      <c r="BU32" s="115">
        <f>'[8]FY20 Initial Budget Allocat (2)'!BU32/'FY20 Initial Budget Allocat FTE'!BU$121</f>
        <v>0</v>
      </c>
      <c r="BV32" s="115">
        <f>'[8]FY20 Initial Budget Allocat (2)'!BV32/'FY20 Initial Budget Allocat FTE'!BV$121</f>
        <v>0</v>
      </c>
      <c r="BW32" s="80">
        <v>0</v>
      </c>
      <c r="BX32" s="80">
        <v>0</v>
      </c>
      <c r="BY32" s="80">
        <v>0</v>
      </c>
      <c r="BZ32" s="80">
        <v>0</v>
      </c>
      <c r="CA32" s="115">
        <f>'[8]FY20 Initial Budget Allocat (2)'!CA32/'FY20 Initial Budget Allocat FTE'!CA$121</f>
        <v>0</v>
      </c>
      <c r="CB32" s="115">
        <f>'[8]FY20 Initial Budget Allocat (2)'!CB32/'FY20 Initial Budget Allocat FTE'!CB$121</f>
        <v>0</v>
      </c>
      <c r="CC32" s="80">
        <v>0</v>
      </c>
      <c r="CD32" s="115">
        <f>'[8]FY20 Initial Budget Allocat (2)'!CD32/'FY20 Initial Budget Allocat FTE'!CD$121</f>
        <v>0</v>
      </c>
      <c r="CE32" s="115">
        <f>'[8]FY20 Initial Budget Allocat (2)'!CE32/'FY20 Initial Budget Allocat FTE'!CE$121</f>
        <v>0</v>
      </c>
      <c r="CF32" s="115">
        <f>'[8]FY20 Initial Budget Allocat (2)'!CF32/'FY20 Initial Budget Allocat FTE'!CF$121</f>
        <v>0</v>
      </c>
      <c r="CG32" s="115">
        <f>'[8]FY20 Initial Budget Allocat (2)'!CG32/'FY20 Initial Budget Allocat FTE'!CG$121</f>
        <v>0</v>
      </c>
      <c r="CH32" s="115">
        <f>'[8]FY20 Initial Budget Allocat (2)'!CH32/'FY20 Initial Budget Allocat FTE'!CH$121</f>
        <v>0</v>
      </c>
      <c r="CI32" s="115">
        <f>'[8]FY20 Initial Budget Allocat (2)'!CI32/'FY20 Initial Budget Allocat FTE'!CI$121</f>
        <v>0</v>
      </c>
      <c r="CJ32" s="115">
        <f>'[8]FY20 Initial Budget Allocat (2)'!CJ32/'FY20 Initial Budget Allocat FTE'!CJ$121</f>
        <v>0</v>
      </c>
      <c r="CK32" s="79">
        <v>0</v>
      </c>
      <c r="CL32" s="79">
        <v>0</v>
      </c>
      <c r="CM32" s="79">
        <v>236038.47999999998</v>
      </c>
      <c r="CN32" s="79">
        <v>0</v>
      </c>
      <c r="CO32" s="115">
        <f>'[8]FY20 Initial Budget Allocat (2)'!CO32/'FY20 Initial Budget Allocat FTE'!CO$121</f>
        <v>0</v>
      </c>
      <c r="CP32" s="79">
        <v>0</v>
      </c>
      <c r="CQ32" s="79">
        <v>0</v>
      </c>
      <c r="CR32" s="79">
        <v>0</v>
      </c>
      <c r="CS32" s="79">
        <v>24788.777108433736</v>
      </c>
      <c r="CT32" s="115">
        <f>'[8]FY20 Initial Budget Allocat (2)'!CT32/'FY20 Initial Budget Allocat FTE'!CT$121</f>
        <v>0</v>
      </c>
      <c r="CU32" s="115">
        <f>'[8]FY20 Initial Budget Allocat (2)'!CU32/'FY20 Initial Budget Allocat FTE'!CU$121</f>
        <v>0</v>
      </c>
      <c r="CV32" s="79"/>
      <c r="CW32" s="79">
        <v>0</v>
      </c>
      <c r="CX32" s="115">
        <f>'[8]FY20 Initial Budget Allocat (2)'!CX32/'FY20 Initial Budget Allocat FTE'!CX$121</f>
        <v>0</v>
      </c>
      <c r="CY32" s="79">
        <v>0</v>
      </c>
      <c r="CZ32" s="79">
        <v>0</v>
      </c>
      <c r="DA32" s="79">
        <v>47100</v>
      </c>
      <c r="DB32" s="79">
        <v>78770.26705262941</v>
      </c>
      <c r="DC32" s="82">
        <v>0</v>
      </c>
      <c r="DD32" s="79">
        <v>0</v>
      </c>
      <c r="DE32" s="79"/>
      <c r="DF32" s="79">
        <v>3000</v>
      </c>
      <c r="DG32" s="79">
        <v>0</v>
      </c>
      <c r="DH32" s="83">
        <v>0</v>
      </c>
      <c r="DI32" s="79">
        <v>11240.25625293383</v>
      </c>
      <c r="DJ32" s="79">
        <v>5294160.6951318327</v>
      </c>
      <c r="DK32" s="84">
        <v>54557.304868167266</v>
      </c>
      <c r="DL32" s="84">
        <v>0</v>
      </c>
      <c r="DM32" s="84">
        <f t="shared" si="0"/>
        <v>5348718</v>
      </c>
      <c r="DN32" s="116">
        <f t="shared" si="1"/>
        <v>5</v>
      </c>
      <c r="DO32" s="116">
        <f t="shared" si="2"/>
        <v>5</v>
      </c>
      <c r="DP32" s="116">
        <f t="shared" si="3"/>
        <v>16</v>
      </c>
      <c r="DQ32" s="116">
        <f t="shared" si="4"/>
        <v>8.5</v>
      </c>
      <c r="DR32" s="116">
        <f t="shared" si="5"/>
        <v>1</v>
      </c>
    </row>
    <row r="33" spans="1:122" x14ac:dyDescent="0.25">
      <c r="A33" s="76">
        <v>407</v>
      </c>
      <c r="B33" s="76" t="s">
        <v>171</v>
      </c>
      <c r="C33" s="77" t="s">
        <v>152</v>
      </c>
      <c r="D33" s="41">
        <v>6</v>
      </c>
      <c r="E33" s="78">
        <v>251</v>
      </c>
      <c r="F33" s="78">
        <v>182.77830188679246</v>
      </c>
      <c r="G33" s="115">
        <f>'[8]FY20 Initial Budget Allocat (2)'!G33/'FY20 Initial Budget Allocat FTE'!G$121</f>
        <v>1</v>
      </c>
      <c r="H33" s="115">
        <f>'[8]FY20 Initial Budget Allocat (2)'!H33/'FY20 Initial Budget Allocat FTE'!H$121</f>
        <v>1</v>
      </c>
      <c r="I33" s="115">
        <f>'[8]FY20 Initial Budget Allocat (2)'!I33/'FY20 Initial Budget Allocat FTE'!I$121</f>
        <v>0.8</v>
      </c>
      <c r="J33" s="115">
        <f>'[8]FY20 Initial Budget Allocat (2)'!J33/'FY20 Initial Budget Allocat FTE'!J$121</f>
        <v>1</v>
      </c>
      <c r="K33" s="115">
        <f>'[8]FY20 Initial Budget Allocat (2)'!K33/'FY20 Initial Budget Allocat FTE'!K$121</f>
        <v>0</v>
      </c>
      <c r="L33" s="115">
        <f>'[8]FY20 Initial Budget Allocat (2)'!L33/'FY20 Initial Budget Allocat FTE'!L$121</f>
        <v>0.5</v>
      </c>
      <c r="M33" s="115">
        <f>'[8]FY20 Initial Budget Allocat (2)'!M33/'FY20 Initial Budget Allocat FTE'!M$121</f>
        <v>1</v>
      </c>
      <c r="N33" s="115">
        <f>'[8]FY20 Initial Budget Allocat (2)'!N33/'FY20 Initial Budget Allocat FTE'!N$121</f>
        <v>0</v>
      </c>
      <c r="O33" s="115">
        <f>'[8]FY20 Initial Budget Allocat (2)'!O33/'FY20 Initial Budget Allocat FTE'!O$121</f>
        <v>0</v>
      </c>
      <c r="P33" s="115">
        <f>'[8]FY20 Initial Budget Allocat (2)'!P33/'FY20 Initial Budget Allocat FTE'!P$121</f>
        <v>0</v>
      </c>
      <c r="Q33" s="115">
        <f>'[8]FY20 Initial Budget Allocat (2)'!Q33/'FY20 Initial Budget Allocat FTE'!Q$121</f>
        <v>0</v>
      </c>
      <c r="R33" s="115">
        <f>'[8]FY20 Initial Budget Allocat (2)'!R33/'FY20 Initial Budget Allocat FTE'!R$121</f>
        <v>1</v>
      </c>
      <c r="S33" s="115">
        <f>'[8]FY20 Initial Budget Allocat (2)'!S33/'FY20 Initial Budget Allocat FTE'!S$121</f>
        <v>1</v>
      </c>
      <c r="T33" s="115">
        <f>'[8]FY20 Initial Budget Allocat (2)'!T33/'FY20 Initial Budget Allocat FTE'!T$121</f>
        <v>3</v>
      </c>
      <c r="U33" s="115">
        <f>'[8]FY20 Initial Budget Allocat (2)'!U33/'FY20 Initial Budget Allocat FTE'!U$121</f>
        <v>0.5</v>
      </c>
      <c r="V33" s="115">
        <f>'[8]FY20 Initial Budget Allocat (2)'!V33/'FY20 Initial Budget Allocat FTE'!V$121</f>
        <v>0</v>
      </c>
      <c r="W33" s="115">
        <f>'[8]FY20 Initial Budget Allocat (2)'!W33/'FY20 Initial Budget Allocat FTE'!W$121</f>
        <v>0</v>
      </c>
      <c r="X33" s="115">
        <f>'[8]FY20 Initial Budget Allocat (2)'!X33/'FY20 Initial Budget Allocat FTE'!X$121</f>
        <v>0</v>
      </c>
      <c r="Y33" s="115">
        <f>'[8]FY20 Initial Budget Allocat (2)'!Y33/'FY20 Initial Budget Allocat FTE'!Y$121</f>
        <v>0</v>
      </c>
      <c r="Z33" s="115">
        <f>'[8]FY20 Initial Budget Allocat (2)'!Z33/'FY20 Initial Budget Allocat FTE'!Z$121</f>
        <v>0</v>
      </c>
      <c r="AA33" s="115">
        <f>'[8]FY20 Initial Budget Allocat (2)'!AA33/'FY20 Initial Budget Allocat FTE'!AA$121</f>
        <v>0</v>
      </c>
      <c r="AB33" s="115">
        <f>'[8]FY20 Initial Budget Allocat (2)'!AB33/'FY20 Initial Budget Allocat FTE'!AB$121</f>
        <v>0</v>
      </c>
      <c r="AC33" s="115">
        <f>'[8]FY20 Initial Budget Allocat (2)'!AC33/'FY20 Initial Budget Allocat FTE'!AC$121</f>
        <v>0</v>
      </c>
      <c r="AD33" s="115">
        <f>'[8]FY20 Initial Budget Allocat (2)'!AD33/'FY20 Initial Budget Allocat FTE'!AD$121</f>
        <v>0</v>
      </c>
      <c r="AE33" s="115">
        <f>'[8]FY20 Initial Budget Allocat (2)'!AE33/'FY20 Initial Budget Allocat FTE'!AE$121</f>
        <v>0</v>
      </c>
      <c r="AF33" s="115">
        <f>'[8]FY20 Initial Budget Allocat (2)'!AF33/'FY20 Initial Budget Allocat FTE'!AF$121</f>
        <v>0</v>
      </c>
      <c r="AG33" s="115">
        <f>'[8]FY20 Initial Budget Allocat (2)'!AG33/'FY20 Initial Budget Allocat FTE'!AG$121</f>
        <v>0</v>
      </c>
      <c r="AH33" s="115">
        <f>'[8]FY20 Initial Budget Allocat (2)'!AH33/'FY20 Initial Budget Allocat FTE'!AH$121</f>
        <v>0</v>
      </c>
      <c r="AI33" s="115">
        <f>'[8]FY20 Initial Budget Allocat (2)'!AI33/'FY20 Initial Budget Allocat FTE'!AI$121</f>
        <v>0</v>
      </c>
      <c r="AJ33" s="115">
        <f>'[8]FY20 Initial Budget Allocat (2)'!AJ33/'FY20 Initial Budget Allocat FTE'!AJ$121</f>
        <v>0</v>
      </c>
      <c r="AK33" s="115">
        <f>'[8]FY20 Initial Budget Allocat (2)'!AK33/'FY20 Initial Budget Allocat FTE'!AK$121</f>
        <v>0</v>
      </c>
      <c r="AL33" s="115">
        <f>'[8]FY20 Initial Budget Allocat (2)'!AL33/'FY20 Initial Budget Allocat FTE'!AL$121</f>
        <v>0</v>
      </c>
      <c r="AM33" s="115">
        <f>'[8]FY20 Initial Budget Allocat (2)'!AM33/'FY20 Initial Budget Allocat FTE'!AM$121</f>
        <v>0</v>
      </c>
      <c r="AN33" s="115">
        <f>'[8]FY20 Initial Budget Allocat (2)'!AN33/'FY20 Initial Budget Allocat FTE'!AN$121</f>
        <v>4.2</v>
      </c>
      <c r="AO33" s="115">
        <f>'[8]FY20 Initial Budget Allocat (2)'!AO33/'FY20 Initial Budget Allocat FTE'!AO$121</f>
        <v>4.4000000000000004</v>
      </c>
      <c r="AP33" s="115">
        <f>'[8]FY20 Initial Budget Allocat (2)'!AP33/'FY20 Initial Budget Allocat FTE'!AP$121</f>
        <v>2.7999999999999994</v>
      </c>
      <c r="AQ33" s="115">
        <f>'[8]FY20 Initial Budget Allocat (2)'!AQ33/'FY20 Initial Budget Allocat FTE'!AQ$121</f>
        <v>0</v>
      </c>
      <c r="AR33" s="115">
        <f>'[8]FY20 Initial Budget Allocat (2)'!AR33/'FY20 Initial Budget Allocat FTE'!AR$121</f>
        <v>0</v>
      </c>
      <c r="AS33" s="115">
        <f>'[8]FY20 Initial Budget Allocat (2)'!AS33/'FY20 Initial Budget Allocat FTE'!AS$121</f>
        <v>0</v>
      </c>
      <c r="AT33" s="115">
        <f>'[8]FY20 Initial Budget Allocat (2)'!AT33/'FY20 Initial Budget Allocat FTE'!AT$121</f>
        <v>0</v>
      </c>
      <c r="AU33" s="115">
        <f>'[8]FY20 Initial Budget Allocat (2)'!AU33/'FY20 Initial Budget Allocat FTE'!AU$121</f>
        <v>0</v>
      </c>
      <c r="AV33" s="115">
        <f>'[8]FY20 Initial Budget Allocat (2)'!AV33/'FY20 Initial Budget Allocat FTE'!AV$121</f>
        <v>0</v>
      </c>
      <c r="AW33" s="115">
        <f>'[8]FY20 Initial Budget Allocat (2)'!AW33/'FY20 Initial Budget Allocat FTE'!AW$121</f>
        <v>0</v>
      </c>
      <c r="AX33" s="115">
        <f>'[8]FY20 Initial Budget Allocat (2)'!AX33/'FY20 Initial Budget Allocat FTE'!AX$121</f>
        <v>1</v>
      </c>
      <c r="AY33" s="115">
        <f>'[8]FY20 Initial Budget Allocat (2)'!AY33/'FY20 Initial Budget Allocat FTE'!AY$121</f>
        <v>2</v>
      </c>
      <c r="AZ33" s="115">
        <f>'[8]FY20 Initial Budget Allocat (2)'!AZ33/'FY20 Initial Budget Allocat FTE'!AZ$121</f>
        <v>8</v>
      </c>
      <c r="BA33" s="115">
        <f>'[8]FY20 Initial Budget Allocat (2)'!BA33/'FY20 Initial Budget Allocat FTE'!BA$121</f>
        <v>5</v>
      </c>
      <c r="BB33" s="115">
        <f>'[8]FY20 Initial Budget Allocat (2)'!BB33/'FY20 Initial Budget Allocat FTE'!BB$121</f>
        <v>1</v>
      </c>
      <c r="BC33" s="115">
        <f>'[8]FY20 Initial Budget Allocat (2)'!BC33/'FY20 Initial Budget Allocat FTE'!BC$121</f>
        <v>0</v>
      </c>
      <c r="BD33" s="115">
        <f>'[8]FY20 Initial Budget Allocat (2)'!BD33/'FY20 Initial Budget Allocat FTE'!BD$121</f>
        <v>0.22727272727272727</v>
      </c>
      <c r="BE33" s="115">
        <f>'[8]FY20 Initial Budget Allocat (2)'!BE33/'FY20 Initial Budget Allocat FTE'!BE$121</f>
        <v>0</v>
      </c>
      <c r="BF33" s="115">
        <f>'[8]FY20 Initial Budget Allocat (2)'!BF33/'FY20 Initial Budget Allocat FTE'!BF$121</f>
        <v>0</v>
      </c>
      <c r="BG33" s="115">
        <f>'[8]FY20 Initial Budget Allocat (2)'!BG33/'FY20 Initial Budget Allocat FTE'!BG$121</f>
        <v>0</v>
      </c>
      <c r="BH33" s="115">
        <f>'[8]FY20 Initial Budget Allocat (2)'!BH33/'FY20 Initial Budget Allocat FTE'!BH$121</f>
        <v>0</v>
      </c>
      <c r="BI33" s="115">
        <f>'[8]FY20 Initial Budget Allocat (2)'!BI33/'FY20 Initial Budget Allocat FTE'!BI$121</f>
        <v>0</v>
      </c>
      <c r="BJ33" s="79"/>
      <c r="BK33" s="79">
        <v>0</v>
      </c>
      <c r="BL33" s="79"/>
      <c r="BM33" s="79">
        <v>96503.99</v>
      </c>
      <c r="BN33" s="79">
        <v>1535.63</v>
      </c>
      <c r="BO33" s="79">
        <v>0</v>
      </c>
      <c r="BP33" s="115">
        <f>'[8]FY20 Initial Budget Allocat (2)'!BP33/'FY20 Initial Budget Allocat FTE'!BP$121</f>
        <v>1</v>
      </c>
      <c r="BQ33" s="115">
        <f>'[8]FY20 Initial Budget Allocat (2)'!BQ33/'FY20 Initial Budget Allocat FTE'!BQ$121</f>
        <v>0</v>
      </c>
      <c r="BR33" s="115">
        <f>'[8]FY20 Initial Budget Allocat (2)'!BR33/'FY20 Initial Budget Allocat FTE'!BR$121</f>
        <v>1</v>
      </c>
      <c r="BS33" s="115">
        <f>'[8]FY20 Initial Budget Allocat (2)'!BS33/'FY20 Initial Budget Allocat FTE'!BS$121</f>
        <v>0</v>
      </c>
      <c r="BT33" s="115">
        <f>'[8]FY20 Initial Budget Allocat (2)'!BT33/'FY20 Initial Budget Allocat FTE'!BT$121</f>
        <v>0</v>
      </c>
      <c r="BU33" s="115">
        <f>'[8]FY20 Initial Budget Allocat (2)'!BU33/'FY20 Initial Budget Allocat FTE'!BU$121</f>
        <v>0</v>
      </c>
      <c r="BV33" s="115">
        <f>'[8]FY20 Initial Budget Allocat (2)'!BV33/'FY20 Initial Budget Allocat FTE'!BV$121</f>
        <v>0</v>
      </c>
      <c r="BW33" s="80">
        <v>0</v>
      </c>
      <c r="BX33" s="80">
        <v>0</v>
      </c>
      <c r="BY33" s="80">
        <v>0</v>
      </c>
      <c r="BZ33" s="80">
        <v>0</v>
      </c>
      <c r="CA33" s="115">
        <f>'[8]FY20 Initial Budget Allocat (2)'!CA33/'FY20 Initial Budget Allocat FTE'!CA$121</f>
        <v>0</v>
      </c>
      <c r="CB33" s="115">
        <f>'[8]FY20 Initial Budget Allocat (2)'!CB33/'FY20 Initial Budget Allocat FTE'!CB$121</f>
        <v>0</v>
      </c>
      <c r="CC33" s="80">
        <v>0</v>
      </c>
      <c r="CD33" s="115">
        <f>'[8]FY20 Initial Budget Allocat (2)'!CD33/'FY20 Initial Budget Allocat FTE'!CD$121</f>
        <v>0</v>
      </c>
      <c r="CE33" s="115">
        <f>'[8]FY20 Initial Budget Allocat (2)'!CE33/'FY20 Initial Budget Allocat FTE'!CE$121</f>
        <v>0</v>
      </c>
      <c r="CF33" s="115">
        <f>'[8]FY20 Initial Budget Allocat (2)'!CF33/'FY20 Initial Budget Allocat FTE'!CF$121</f>
        <v>0</v>
      </c>
      <c r="CG33" s="115">
        <f>'[8]FY20 Initial Budget Allocat (2)'!CG33/'FY20 Initial Budget Allocat FTE'!CG$121</f>
        <v>0</v>
      </c>
      <c r="CH33" s="115">
        <f>'[8]FY20 Initial Budget Allocat (2)'!CH33/'FY20 Initial Budget Allocat FTE'!CH$121</f>
        <v>0</v>
      </c>
      <c r="CI33" s="115">
        <f>'[8]FY20 Initial Budget Allocat (2)'!CI33/'FY20 Initial Budget Allocat FTE'!CI$121</f>
        <v>2.0000000000000004</v>
      </c>
      <c r="CJ33" s="115">
        <f>'[8]FY20 Initial Budget Allocat (2)'!CJ33/'FY20 Initial Budget Allocat FTE'!CJ$121</f>
        <v>1</v>
      </c>
      <c r="CK33" s="79">
        <v>23000</v>
      </c>
      <c r="CL33" s="79">
        <v>5000</v>
      </c>
      <c r="CM33" s="79">
        <v>362651.6</v>
      </c>
      <c r="CN33" s="79">
        <v>100000</v>
      </c>
      <c r="CO33" s="115">
        <f>'[8]FY20 Initial Budget Allocat (2)'!CO33/'FY20 Initial Budget Allocat FTE'!CO$121</f>
        <v>0</v>
      </c>
      <c r="CP33" s="79">
        <v>75000</v>
      </c>
      <c r="CQ33" s="79">
        <v>3655.566037735849</v>
      </c>
      <c r="CR33" s="79">
        <v>0</v>
      </c>
      <c r="CS33" s="79">
        <v>20315.022102425875</v>
      </c>
      <c r="CT33" s="115">
        <f>'[8]FY20 Initial Budget Allocat (2)'!CT33/'FY20 Initial Budget Allocat FTE'!CT$121</f>
        <v>0</v>
      </c>
      <c r="CU33" s="115">
        <f>'[8]FY20 Initial Budget Allocat (2)'!CU33/'FY20 Initial Budget Allocat FTE'!CU$121</f>
        <v>0</v>
      </c>
      <c r="CV33" s="79"/>
      <c r="CW33" s="79">
        <v>0</v>
      </c>
      <c r="CX33" s="115">
        <f>'[8]FY20 Initial Budget Allocat (2)'!CX33/'FY20 Initial Budget Allocat FTE'!CX$121</f>
        <v>0</v>
      </c>
      <c r="CY33" s="79">
        <v>0</v>
      </c>
      <c r="CZ33" s="79">
        <v>0</v>
      </c>
      <c r="DA33" s="79">
        <v>25100</v>
      </c>
      <c r="DB33" s="79">
        <v>69089.026790061398</v>
      </c>
      <c r="DC33" s="82">
        <v>0</v>
      </c>
      <c r="DD33" s="79">
        <v>16463</v>
      </c>
      <c r="DE33" s="79"/>
      <c r="DF33" s="79">
        <v>35350</v>
      </c>
      <c r="DG33" s="79">
        <v>0</v>
      </c>
      <c r="DH33" s="83">
        <v>0</v>
      </c>
      <c r="DI33" s="79">
        <v>20019.552728820861</v>
      </c>
      <c r="DJ33" s="79">
        <v>5024907.7349340366</v>
      </c>
      <c r="DK33" s="84">
        <v>0.71506596356630325</v>
      </c>
      <c r="DL33" s="84">
        <v>0</v>
      </c>
      <c r="DM33" s="84">
        <f t="shared" si="0"/>
        <v>5024908.45</v>
      </c>
      <c r="DN33" s="116">
        <f t="shared" si="1"/>
        <v>0</v>
      </c>
      <c r="DO33" s="116">
        <f t="shared" si="2"/>
        <v>0</v>
      </c>
      <c r="DP33" s="116">
        <f t="shared" si="3"/>
        <v>11.4</v>
      </c>
      <c r="DQ33" s="116">
        <f t="shared" si="4"/>
        <v>11.227272727272727</v>
      </c>
      <c r="DR33" s="116">
        <f t="shared" si="5"/>
        <v>5</v>
      </c>
    </row>
    <row r="34" spans="1:122" x14ac:dyDescent="0.25">
      <c r="A34" s="76">
        <v>471</v>
      </c>
      <c r="B34" s="76" t="s">
        <v>172</v>
      </c>
      <c r="C34" s="77" t="s">
        <v>138</v>
      </c>
      <c r="D34" s="41">
        <v>2</v>
      </c>
      <c r="E34" s="78">
        <v>572</v>
      </c>
      <c r="F34" s="78">
        <v>181.02325581395348</v>
      </c>
      <c r="G34" s="115">
        <f>'[8]FY20 Initial Budget Allocat (2)'!G34/'FY20 Initial Budget Allocat FTE'!G$121</f>
        <v>1</v>
      </c>
      <c r="H34" s="115">
        <f>'[8]FY20 Initial Budget Allocat (2)'!H34/'FY20 Initial Budget Allocat FTE'!H$121</f>
        <v>1</v>
      </c>
      <c r="I34" s="115">
        <f>'[8]FY20 Initial Budget Allocat (2)'!I34/'FY20 Initial Budget Allocat FTE'!I$121</f>
        <v>1.9000000000000001</v>
      </c>
      <c r="J34" s="115">
        <f>'[8]FY20 Initial Budget Allocat (2)'!J34/'FY20 Initial Budget Allocat FTE'!J$121</f>
        <v>0</v>
      </c>
      <c r="K34" s="115">
        <f>'[8]FY20 Initial Budget Allocat (2)'!K34/'FY20 Initial Budget Allocat FTE'!K$121</f>
        <v>2.4999914336021911</v>
      </c>
      <c r="L34" s="115">
        <f>'[8]FY20 Initial Budget Allocat (2)'!L34/'FY20 Initial Budget Allocat FTE'!L$121</f>
        <v>1</v>
      </c>
      <c r="M34" s="115">
        <f>'[8]FY20 Initial Budget Allocat (2)'!M34/'FY20 Initial Budget Allocat FTE'!M$121</f>
        <v>1</v>
      </c>
      <c r="N34" s="115">
        <f>'[8]FY20 Initial Budget Allocat (2)'!N34/'FY20 Initial Budget Allocat FTE'!N$121</f>
        <v>1.4</v>
      </c>
      <c r="O34" s="115">
        <f>'[8]FY20 Initial Budget Allocat (2)'!O34/'FY20 Initial Budget Allocat FTE'!O$121</f>
        <v>1</v>
      </c>
      <c r="P34" s="115">
        <f>'[8]FY20 Initial Budget Allocat (2)'!P34/'FY20 Initial Budget Allocat FTE'!P$121</f>
        <v>1</v>
      </c>
      <c r="Q34" s="115">
        <f>'[8]FY20 Initial Budget Allocat (2)'!Q34/'FY20 Initial Budget Allocat FTE'!Q$121</f>
        <v>0</v>
      </c>
      <c r="R34" s="115">
        <f>'[8]FY20 Initial Budget Allocat (2)'!R34/'FY20 Initial Budget Allocat FTE'!R$121</f>
        <v>1</v>
      </c>
      <c r="S34" s="115">
        <f>'[8]FY20 Initial Budget Allocat (2)'!S34/'FY20 Initial Budget Allocat FTE'!S$121</f>
        <v>1</v>
      </c>
      <c r="T34" s="115">
        <f>'[8]FY20 Initial Budget Allocat (2)'!T34/'FY20 Initial Budget Allocat FTE'!T$121</f>
        <v>5</v>
      </c>
      <c r="U34" s="115">
        <f>'[8]FY20 Initial Budget Allocat (2)'!U34/'FY20 Initial Budget Allocat FTE'!U$121</f>
        <v>1</v>
      </c>
      <c r="V34" s="115">
        <f>'[8]FY20 Initial Budget Allocat (2)'!V34/'FY20 Initial Budget Allocat FTE'!V$121</f>
        <v>0</v>
      </c>
      <c r="W34" s="115">
        <f>'[8]FY20 Initial Budget Allocat (2)'!W34/'FY20 Initial Budget Allocat FTE'!W$121</f>
        <v>0</v>
      </c>
      <c r="X34" s="115">
        <f>'[8]FY20 Initial Budget Allocat (2)'!X34/'FY20 Initial Budget Allocat FTE'!X$121</f>
        <v>0</v>
      </c>
      <c r="Y34" s="115">
        <f>'[8]FY20 Initial Budget Allocat (2)'!Y34/'FY20 Initial Budget Allocat FTE'!Y$121</f>
        <v>0</v>
      </c>
      <c r="Z34" s="115">
        <f>'[8]FY20 Initial Budget Allocat (2)'!Z34/'FY20 Initial Budget Allocat FTE'!Z$121</f>
        <v>0</v>
      </c>
      <c r="AA34" s="115">
        <f>'[8]FY20 Initial Budget Allocat (2)'!AA34/'FY20 Initial Budget Allocat FTE'!AA$121</f>
        <v>0</v>
      </c>
      <c r="AB34" s="115">
        <f>'[8]FY20 Initial Budget Allocat (2)'!AB34/'FY20 Initial Budget Allocat FTE'!AB$121</f>
        <v>0</v>
      </c>
      <c r="AC34" s="115">
        <f>'[8]FY20 Initial Budget Allocat (2)'!AC34/'FY20 Initial Budget Allocat FTE'!AC$121</f>
        <v>0</v>
      </c>
      <c r="AD34" s="115">
        <f>'[8]FY20 Initial Budget Allocat (2)'!AD34/'FY20 Initial Budget Allocat FTE'!AD$121</f>
        <v>0</v>
      </c>
      <c r="AE34" s="115">
        <f>'[8]FY20 Initial Budget Allocat (2)'!AE34/'FY20 Initial Budget Allocat FTE'!AE$121</f>
        <v>0</v>
      </c>
      <c r="AF34" s="115">
        <f>'[8]FY20 Initial Budget Allocat (2)'!AF34/'FY20 Initial Budget Allocat FTE'!AF$121</f>
        <v>0</v>
      </c>
      <c r="AG34" s="115">
        <f>'[8]FY20 Initial Budget Allocat (2)'!AG34/'FY20 Initial Budget Allocat FTE'!AG$121</f>
        <v>0</v>
      </c>
      <c r="AH34" s="115">
        <f>'[8]FY20 Initial Budget Allocat (2)'!AH34/'FY20 Initial Budget Allocat FTE'!AH$121</f>
        <v>0</v>
      </c>
      <c r="AI34" s="115">
        <f>'[8]FY20 Initial Budget Allocat (2)'!AI34/'FY20 Initial Budget Allocat FTE'!AI$121</f>
        <v>0</v>
      </c>
      <c r="AJ34" s="115">
        <f>'[8]FY20 Initial Budget Allocat (2)'!AJ34/'FY20 Initial Budget Allocat FTE'!AJ$121</f>
        <v>0</v>
      </c>
      <c r="AK34" s="115">
        <f>'[8]FY20 Initial Budget Allocat (2)'!AK34/'FY20 Initial Budget Allocat FTE'!AK$121</f>
        <v>0</v>
      </c>
      <c r="AL34" s="115">
        <f>'[8]FY20 Initial Budget Allocat (2)'!AL34/'FY20 Initial Budget Allocat FTE'!AL$121</f>
        <v>0</v>
      </c>
      <c r="AM34" s="115">
        <f>'[8]FY20 Initial Budget Allocat (2)'!AM34/'FY20 Initial Budget Allocat FTE'!AM$121</f>
        <v>0</v>
      </c>
      <c r="AN34" s="115">
        <f>'[8]FY20 Initial Budget Allocat (2)'!AN34/'FY20 Initial Budget Allocat FTE'!AN$121</f>
        <v>0</v>
      </c>
      <c r="AO34" s="115">
        <f>'[8]FY20 Initial Budget Allocat (2)'!AO34/'FY20 Initial Budget Allocat FTE'!AO$121</f>
        <v>0</v>
      </c>
      <c r="AP34" s="115">
        <f>'[8]FY20 Initial Budget Allocat (2)'!AP34/'FY20 Initial Budget Allocat FTE'!AP$121</f>
        <v>0</v>
      </c>
      <c r="AQ34" s="115">
        <f>'[8]FY20 Initial Budget Allocat (2)'!AQ34/'FY20 Initial Budget Allocat FTE'!AQ$121</f>
        <v>0</v>
      </c>
      <c r="AR34" s="115">
        <f>'[8]FY20 Initial Budget Allocat (2)'!AR34/'FY20 Initial Budget Allocat FTE'!AR$121</f>
        <v>0</v>
      </c>
      <c r="AS34" s="115">
        <f>'[8]FY20 Initial Budget Allocat (2)'!AS34/'FY20 Initial Budget Allocat FTE'!AS$121</f>
        <v>0</v>
      </c>
      <c r="AT34" s="115">
        <f>'[8]FY20 Initial Budget Allocat (2)'!AT34/'FY20 Initial Budget Allocat FTE'!AT$121</f>
        <v>0</v>
      </c>
      <c r="AU34" s="115">
        <f>'[8]FY20 Initial Budget Allocat (2)'!AU34/'FY20 Initial Budget Allocat FTE'!AU$121</f>
        <v>0</v>
      </c>
      <c r="AV34" s="115">
        <f>'[8]FY20 Initial Budget Allocat (2)'!AV34/'FY20 Initial Budget Allocat FTE'!AV$121</f>
        <v>23.833333333333332</v>
      </c>
      <c r="AW34" s="115">
        <f>'[8]FY20 Initial Budget Allocat (2)'!AW34/'FY20 Initial Budget Allocat FTE'!AW$121</f>
        <v>8.1666666666666803</v>
      </c>
      <c r="AX34" s="115">
        <f>'[8]FY20 Initial Budget Allocat (2)'!AX34/'FY20 Initial Budget Allocat FTE'!AX$121</f>
        <v>1</v>
      </c>
      <c r="AY34" s="115">
        <f>'[8]FY20 Initial Budget Allocat (2)'!AY34/'FY20 Initial Budget Allocat FTE'!AY$121</f>
        <v>2</v>
      </c>
      <c r="AZ34" s="115">
        <f>'[8]FY20 Initial Budget Allocat (2)'!AZ34/'FY20 Initial Budget Allocat FTE'!AZ$121</f>
        <v>3.0000000000000004</v>
      </c>
      <c r="BA34" s="115">
        <f>'[8]FY20 Initial Budget Allocat (2)'!BA34/'FY20 Initial Budget Allocat FTE'!BA$121</f>
        <v>0</v>
      </c>
      <c r="BB34" s="115">
        <f>'[8]FY20 Initial Budget Allocat (2)'!BB34/'FY20 Initial Budget Allocat FTE'!BB$121</f>
        <v>0</v>
      </c>
      <c r="BC34" s="115">
        <f>'[8]FY20 Initial Budget Allocat (2)'!BC34/'FY20 Initial Budget Allocat FTE'!BC$121</f>
        <v>0</v>
      </c>
      <c r="BD34" s="115">
        <f>'[8]FY20 Initial Budget Allocat (2)'!BD34/'FY20 Initial Budget Allocat FTE'!BD$121</f>
        <v>0.40909090909090906</v>
      </c>
      <c r="BE34" s="115">
        <f>'[8]FY20 Initial Budget Allocat (2)'!BE34/'FY20 Initial Budget Allocat FTE'!BE$121</f>
        <v>0</v>
      </c>
      <c r="BF34" s="115">
        <f>'[8]FY20 Initial Budget Allocat (2)'!BF34/'FY20 Initial Budget Allocat FTE'!BF$121</f>
        <v>0</v>
      </c>
      <c r="BG34" s="115">
        <f>'[8]FY20 Initial Budget Allocat (2)'!BG34/'FY20 Initial Budget Allocat FTE'!BG$121</f>
        <v>0</v>
      </c>
      <c r="BH34" s="115">
        <f>'[8]FY20 Initial Budget Allocat (2)'!BH34/'FY20 Initial Budget Allocat FTE'!BH$121</f>
        <v>0</v>
      </c>
      <c r="BI34" s="115">
        <f>'[8]FY20 Initial Budget Allocat (2)'!BI34/'FY20 Initial Budget Allocat FTE'!BI$121</f>
        <v>0</v>
      </c>
      <c r="BJ34" s="79"/>
      <c r="BK34" s="79">
        <v>0</v>
      </c>
      <c r="BL34" s="79"/>
      <c r="BM34" s="79">
        <v>0</v>
      </c>
      <c r="BN34" s="79">
        <v>0</v>
      </c>
      <c r="BO34" s="79">
        <v>12300</v>
      </c>
      <c r="BP34" s="115">
        <f>'[8]FY20 Initial Budget Allocat (2)'!BP34/'FY20 Initial Budget Allocat FTE'!BP$121</f>
        <v>0</v>
      </c>
      <c r="BQ34" s="115">
        <f>'[8]FY20 Initial Budget Allocat (2)'!BQ34/'FY20 Initial Budget Allocat FTE'!BQ$121</f>
        <v>0</v>
      </c>
      <c r="BR34" s="115">
        <f>'[8]FY20 Initial Budget Allocat (2)'!BR34/'FY20 Initial Budget Allocat FTE'!BR$121</f>
        <v>0</v>
      </c>
      <c r="BS34" s="115">
        <f>'[8]FY20 Initial Budget Allocat (2)'!BS34/'FY20 Initial Budget Allocat FTE'!BS$121</f>
        <v>0</v>
      </c>
      <c r="BT34" s="115">
        <f>'[8]FY20 Initial Budget Allocat (2)'!BT34/'FY20 Initial Budget Allocat FTE'!BT$121</f>
        <v>0</v>
      </c>
      <c r="BU34" s="115">
        <f>'[8]FY20 Initial Budget Allocat (2)'!BU34/'FY20 Initial Budget Allocat FTE'!BU$121</f>
        <v>0</v>
      </c>
      <c r="BV34" s="115">
        <f>'[8]FY20 Initial Budget Allocat (2)'!BV34/'FY20 Initial Budget Allocat FTE'!BV$121</f>
        <v>0</v>
      </c>
      <c r="BW34" s="80">
        <v>0</v>
      </c>
      <c r="BX34" s="80">
        <v>0</v>
      </c>
      <c r="BY34" s="80">
        <v>0</v>
      </c>
      <c r="BZ34" s="80">
        <v>0</v>
      </c>
      <c r="CA34" s="115">
        <f>'[8]FY20 Initial Budget Allocat (2)'!CA34/'FY20 Initial Budget Allocat FTE'!CA$121</f>
        <v>0</v>
      </c>
      <c r="CB34" s="115">
        <f>'[8]FY20 Initial Budget Allocat (2)'!CB34/'FY20 Initial Budget Allocat FTE'!CB$121</f>
        <v>0</v>
      </c>
      <c r="CC34" s="80">
        <v>0</v>
      </c>
      <c r="CD34" s="115">
        <f>'[8]FY20 Initial Budget Allocat (2)'!CD34/'FY20 Initial Budget Allocat FTE'!CD$121</f>
        <v>0</v>
      </c>
      <c r="CE34" s="115">
        <f>'[8]FY20 Initial Budget Allocat (2)'!CE34/'FY20 Initial Budget Allocat FTE'!CE$121</f>
        <v>0</v>
      </c>
      <c r="CF34" s="115">
        <f>'[8]FY20 Initial Budget Allocat (2)'!CF34/'FY20 Initial Budget Allocat FTE'!CF$121</f>
        <v>0</v>
      </c>
      <c r="CG34" s="115">
        <f>'[8]FY20 Initial Budget Allocat (2)'!CG34/'FY20 Initial Budget Allocat FTE'!CG$121</f>
        <v>0</v>
      </c>
      <c r="CH34" s="115">
        <f>'[8]FY20 Initial Budget Allocat (2)'!CH34/'FY20 Initial Budget Allocat FTE'!CH$121</f>
        <v>0</v>
      </c>
      <c r="CI34" s="115">
        <f>'[8]FY20 Initial Budget Allocat (2)'!CI34/'FY20 Initial Budget Allocat FTE'!CI$121</f>
        <v>0</v>
      </c>
      <c r="CJ34" s="115">
        <f>'[8]FY20 Initial Budget Allocat (2)'!CJ34/'FY20 Initial Budget Allocat FTE'!CJ$121</f>
        <v>0</v>
      </c>
      <c r="CK34" s="79">
        <v>0</v>
      </c>
      <c r="CL34" s="79">
        <v>0</v>
      </c>
      <c r="CM34" s="79">
        <v>430255.1</v>
      </c>
      <c r="CN34" s="79">
        <v>0</v>
      </c>
      <c r="CO34" s="115">
        <f>'[8]FY20 Initial Budget Allocat (2)'!CO34/'FY20 Initial Budget Allocat FTE'!CO$121</f>
        <v>0</v>
      </c>
      <c r="CP34" s="79">
        <v>0</v>
      </c>
      <c r="CQ34" s="79">
        <v>3620.4651162790697</v>
      </c>
      <c r="CR34" s="79">
        <v>0</v>
      </c>
      <c r="CS34" s="79">
        <v>79347.941176470587</v>
      </c>
      <c r="CT34" s="115">
        <f>'[8]FY20 Initial Budget Allocat (2)'!CT34/'FY20 Initial Budget Allocat FTE'!CT$121</f>
        <v>0</v>
      </c>
      <c r="CU34" s="115">
        <f>'[8]FY20 Initial Budget Allocat (2)'!CU34/'FY20 Initial Budget Allocat FTE'!CU$121</f>
        <v>1</v>
      </c>
      <c r="CV34" s="79"/>
      <c r="CW34" s="79">
        <v>0</v>
      </c>
      <c r="CX34" s="115">
        <f>'[8]FY20 Initial Budget Allocat (2)'!CX34/'FY20 Initial Budget Allocat FTE'!CX$121</f>
        <v>0</v>
      </c>
      <c r="CY34" s="79">
        <v>0</v>
      </c>
      <c r="CZ34" s="79">
        <v>0</v>
      </c>
      <c r="DA34" s="79">
        <v>57200</v>
      </c>
      <c r="DB34" s="79">
        <v>95576.912623035678</v>
      </c>
      <c r="DC34" s="82">
        <v>0</v>
      </c>
      <c r="DD34" s="79">
        <v>1388016</v>
      </c>
      <c r="DE34" s="79"/>
      <c r="DF34" s="79">
        <v>8000</v>
      </c>
      <c r="DG34" s="79">
        <v>0</v>
      </c>
      <c r="DH34" s="83">
        <v>0</v>
      </c>
      <c r="DI34" s="79">
        <v>18360.630452979611</v>
      </c>
      <c r="DJ34" s="79">
        <v>8010770.6191043369</v>
      </c>
      <c r="DK34" s="84">
        <v>0.38089566305279732</v>
      </c>
      <c r="DL34" s="84">
        <v>941386.86</v>
      </c>
      <c r="DM34" s="84">
        <f t="shared" si="0"/>
        <v>8952157.8599999994</v>
      </c>
      <c r="DN34" s="116">
        <f t="shared" si="1"/>
        <v>0</v>
      </c>
      <c r="DO34" s="116">
        <f t="shared" si="2"/>
        <v>0</v>
      </c>
      <c r="DP34" s="116">
        <f t="shared" si="3"/>
        <v>32.000000000000014</v>
      </c>
      <c r="DQ34" s="116">
        <f t="shared" si="4"/>
        <v>6.4090909090909092</v>
      </c>
      <c r="DR34" s="116">
        <f t="shared" si="5"/>
        <v>0</v>
      </c>
    </row>
    <row r="35" spans="1:122" ht="16.5" customHeight="1" x14ac:dyDescent="0.25">
      <c r="A35" s="76">
        <v>318</v>
      </c>
      <c r="B35" s="76" t="s">
        <v>173</v>
      </c>
      <c r="C35" s="77" t="s">
        <v>150</v>
      </c>
      <c r="D35" s="41">
        <v>8</v>
      </c>
      <c r="E35" s="78">
        <v>493</v>
      </c>
      <c r="F35" s="78">
        <v>349.09999999999997</v>
      </c>
      <c r="G35" s="115">
        <f>'[8]FY20 Initial Budget Allocat (2)'!G35/'FY20 Initial Budget Allocat FTE'!G$121</f>
        <v>1</v>
      </c>
      <c r="H35" s="115">
        <f>'[8]FY20 Initial Budget Allocat (2)'!H35/'FY20 Initial Budget Allocat FTE'!H$121</f>
        <v>1</v>
      </c>
      <c r="I35" s="115">
        <f>'[8]FY20 Initial Budget Allocat (2)'!I35/'FY20 Initial Budget Allocat FTE'!I$121</f>
        <v>1.3</v>
      </c>
      <c r="J35" s="115">
        <f>'[8]FY20 Initial Budget Allocat (2)'!J35/'FY20 Initial Budget Allocat FTE'!J$121</f>
        <v>1</v>
      </c>
      <c r="K35" s="115">
        <f>'[8]FY20 Initial Budget Allocat (2)'!K35/'FY20 Initial Budget Allocat FTE'!K$121</f>
        <v>0</v>
      </c>
      <c r="L35" s="115">
        <f>'[8]FY20 Initial Budget Allocat (2)'!L35/'FY20 Initial Budget Allocat FTE'!L$121</f>
        <v>1</v>
      </c>
      <c r="M35" s="115">
        <f>'[8]FY20 Initial Budget Allocat (2)'!M35/'FY20 Initial Budget Allocat FTE'!M$121</f>
        <v>1</v>
      </c>
      <c r="N35" s="115">
        <f>'[8]FY20 Initial Budget Allocat (2)'!N35/'FY20 Initial Budget Allocat FTE'!N$121</f>
        <v>1.2</v>
      </c>
      <c r="O35" s="115">
        <f>'[8]FY20 Initial Budget Allocat (2)'!O35/'FY20 Initial Budget Allocat FTE'!O$121</f>
        <v>0</v>
      </c>
      <c r="P35" s="115">
        <f>'[8]FY20 Initial Budget Allocat (2)'!P35/'FY20 Initial Budget Allocat FTE'!P$121</f>
        <v>0</v>
      </c>
      <c r="Q35" s="115">
        <f>'[8]FY20 Initial Budget Allocat (2)'!Q35/'FY20 Initial Budget Allocat FTE'!Q$121</f>
        <v>0</v>
      </c>
      <c r="R35" s="115">
        <f>'[8]FY20 Initial Budget Allocat (2)'!R35/'FY20 Initial Budget Allocat FTE'!R$121</f>
        <v>1</v>
      </c>
      <c r="S35" s="115">
        <f>'[8]FY20 Initial Budget Allocat (2)'!S35/'FY20 Initial Budget Allocat FTE'!S$121</f>
        <v>1</v>
      </c>
      <c r="T35" s="115">
        <f>'[8]FY20 Initial Budget Allocat (2)'!T35/'FY20 Initial Budget Allocat FTE'!T$121</f>
        <v>2</v>
      </c>
      <c r="U35" s="115">
        <f>'[8]FY20 Initial Budget Allocat (2)'!U35/'FY20 Initial Budget Allocat FTE'!U$121</f>
        <v>1</v>
      </c>
      <c r="V35" s="115">
        <f>'[8]FY20 Initial Budget Allocat (2)'!V35/'FY20 Initial Budget Allocat FTE'!V$121</f>
        <v>1</v>
      </c>
      <c r="W35" s="115">
        <f>'[8]FY20 Initial Budget Allocat (2)'!W35/'FY20 Initial Budget Allocat FTE'!W$121</f>
        <v>1</v>
      </c>
      <c r="X35" s="115">
        <f>'[8]FY20 Initial Budget Allocat (2)'!X35/'FY20 Initial Budget Allocat FTE'!X$121</f>
        <v>1</v>
      </c>
      <c r="Y35" s="115">
        <f>'[8]FY20 Initial Budget Allocat (2)'!Y35/'FY20 Initial Budget Allocat FTE'!Y$121</f>
        <v>0</v>
      </c>
      <c r="Z35" s="115">
        <f>'[8]FY20 Initial Budget Allocat (2)'!Z35/'FY20 Initial Budget Allocat FTE'!Z$121</f>
        <v>0</v>
      </c>
      <c r="AA35" s="115">
        <f>'[8]FY20 Initial Budget Allocat (2)'!AA35/'FY20 Initial Budget Allocat FTE'!AA$121</f>
        <v>3.0000000000000004</v>
      </c>
      <c r="AB35" s="115">
        <f>'[8]FY20 Initial Budget Allocat (2)'!AB35/'FY20 Initial Budget Allocat FTE'!AB$121</f>
        <v>3</v>
      </c>
      <c r="AC35" s="115">
        <f>'[8]FY20 Initial Budget Allocat (2)'!AC35/'FY20 Initial Budget Allocat FTE'!AC$121</f>
        <v>1</v>
      </c>
      <c r="AD35" s="115">
        <f>'[8]FY20 Initial Budget Allocat (2)'!AD35/'FY20 Initial Budget Allocat FTE'!AD$121</f>
        <v>1</v>
      </c>
      <c r="AE35" s="115">
        <f>'[8]FY20 Initial Budget Allocat (2)'!AE35/'FY20 Initial Budget Allocat FTE'!AE$121</f>
        <v>3.0000000000000004</v>
      </c>
      <c r="AF35" s="115">
        <f>'[8]FY20 Initial Budget Allocat (2)'!AF35/'FY20 Initial Budget Allocat FTE'!AF$121</f>
        <v>3</v>
      </c>
      <c r="AG35" s="115">
        <f>'[8]FY20 Initial Budget Allocat (2)'!AG35/'FY20 Initial Budget Allocat FTE'!AG$121</f>
        <v>2</v>
      </c>
      <c r="AH35" s="115">
        <f>'[8]FY20 Initial Budget Allocat (2)'!AH35/'FY20 Initial Budget Allocat FTE'!AH$121</f>
        <v>2</v>
      </c>
      <c r="AI35" s="115">
        <f>'[8]FY20 Initial Budget Allocat (2)'!AI35/'FY20 Initial Budget Allocat FTE'!AI$121</f>
        <v>2</v>
      </c>
      <c r="AJ35" s="115">
        <f>'[8]FY20 Initial Budget Allocat (2)'!AJ35/'FY20 Initial Budget Allocat FTE'!AJ$121</f>
        <v>2</v>
      </c>
      <c r="AK35" s="115">
        <f>'[8]FY20 Initial Budget Allocat (2)'!AK35/'FY20 Initial Budget Allocat FTE'!AK$121</f>
        <v>3.0000000000000004</v>
      </c>
      <c r="AL35" s="115">
        <f>'[8]FY20 Initial Budget Allocat (2)'!AL35/'FY20 Initial Budget Allocat FTE'!AL$121</f>
        <v>2</v>
      </c>
      <c r="AM35" s="115">
        <f>'[8]FY20 Initial Budget Allocat (2)'!AM35/'FY20 Initial Budget Allocat FTE'!AM$121</f>
        <v>2</v>
      </c>
      <c r="AN35" s="115">
        <f>'[8]FY20 Initial Budget Allocat (2)'!AN35/'FY20 Initial Budget Allocat FTE'!AN$121</f>
        <v>2</v>
      </c>
      <c r="AO35" s="115">
        <f>'[8]FY20 Initial Budget Allocat (2)'!AO35/'FY20 Initial Budget Allocat FTE'!AO$121</f>
        <v>2.5</v>
      </c>
      <c r="AP35" s="115">
        <f>'[8]FY20 Initial Budget Allocat (2)'!AP35/'FY20 Initial Budget Allocat FTE'!AP$121</f>
        <v>1.2</v>
      </c>
      <c r="AQ35" s="115">
        <f>'[8]FY20 Initial Budget Allocat (2)'!AQ35/'FY20 Initial Budget Allocat FTE'!AQ$121</f>
        <v>0</v>
      </c>
      <c r="AR35" s="115">
        <f>'[8]FY20 Initial Budget Allocat (2)'!AR35/'FY20 Initial Budget Allocat FTE'!AR$121</f>
        <v>0</v>
      </c>
      <c r="AS35" s="115">
        <f>'[8]FY20 Initial Budget Allocat (2)'!AS35/'FY20 Initial Budget Allocat FTE'!AS$121</f>
        <v>0</v>
      </c>
      <c r="AT35" s="115">
        <f>'[8]FY20 Initial Budget Allocat (2)'!AT35/'FY20 Initial Budget Allocat FTE'!AT$121</f>
        <v>0</v>
      </c>
      <c r="AU35" s="115">
        <f>'[8]FY20 Initial Budget Allocat (2)'!AU35/'FY20 Initial Budget Allocat FTE'!AU$121</f>
        <v>0</v>
      </c>
      <c r="AV35" s="115">
        <f>'[8]FY20 Initial Budget Allocat (2)'!AV35/'FY20 Initial Budget Allocat FTE'!AV$121</f>
        <v>0</v>
      </c>
      <c r="AW35" s="115">
        <f>'[8]FY20 Initial Budget Allocat (2)'!AW35/'FY20 Initial Budget Allocat FTE'!AW$121</f>
        <v>0</v>
      </c>
      <c r="AX35" s="115">
        <f>'[8]FY20 Initial Budget Allocat (2)'!AX35/'FY20 Initial Budget Allocat FTE'!AX$121</f>
        <v>1</v>
      </c>
      <c r="AY35" s="115">
        <f>'[8]FY20 Initial Budget Allocat (2)'!AY35/'FY20 Initial Budget Allocat FTE'!AY$121</f>
        <v>3.0000000000000004</v>
      </c>
      <c r="AZ35" s="115">
        <f>'[8]FY20 Initial Budget Allocat (2)'!AZ35/'FY20 Initial Budget Allocat FTE'!AZ$121</f>
        <v>7</v>
      </c>
      <c r="BA35" s="115">
        <f>'[8]FY20 Initial Budget Allocat (2)'!BA35/'FY20 Initial Budget Allocat FTE'!BA$121</f>
        <v>0</v>
      </c>
      <c r="BB35" s="115">
        <f>'[8]FY20 Initial Budget Allocat (2)'!BB35/'FY20 Initial Budget Allocat FTE'!BB$121</f>
        <v>0</v>
      </c>
      <c r="BC35" s="115">
        <f>'[8]FY20 Initial Budget Allocat (2)'!BC35/'FY20 Initial Budget Allocat FTE'!BC$121</f>
        <v>0</v>
      </c>
      <c r="BD35" s="115">
        <f>'[8]FY20 Initial Budget Allocat (2)'!BD35/'FY20 Initial Budget Allocat FTE'!BD$121</f>
        <v>4.5454545454545456E-2</v>
      </c>
      <c r="BE35" s="115">
        <f>'[8]FY20 Initial Budget Allocat (2)'!BE35/'FY20 Initial Budget Allocat FTE'!BE$121</f>
        <v>0</v>
      </c>
      <c r="BF35" s="115">
        <f>'[8]FY20 Initial Budget Allocat (2)'!BF35/'FY20 Initial Budget Allocat FTE'!BF$121</f>
        <v>0</v>
      </c>
      <c r="BG35" s="115">
        <f>'[8]FY20 Initial Budget Allocat (2)'!BG35/'FY20 Initial Budget Allocat FTE'!BG$121</f>
        <v>0</v>
      </c>
      <c r="BH35" s="115">
        <f>'[8]FY20 Initial Budget Allocat (2)'!BH35/'FY20 Initial Budget Allocat FTE'!BH$121</f>
        <v>0</v>
      </c>
      <c r="BI35" s="115">
        <f>'[8]FY20 Initial Budget Allocat (2)'!BI35/'FY20 Initial Budget Allocat FTE'!BI$121</f>
        <v>0</v>
      </c>
      <c r="BJ35" s="79"/>
      <c r="BK35" s="79">
        <v>0</v>
      </c>
      <c r="BL35" s="79">
        <v>35539.5</v>
      </c>
      <c r="BM35" s="79">
        <v>305199.82</v>
      </c>
      <c r="BN35" s="79">
        <v>4856.5200000000004</v>
      </c>
      <c r="BO35" s="79">
        <v>0</v>
      </c>
      <c r="BP35" s="115">
        <f>'[8]FY20 Initial Budget Allocat (2)'!BP35/'FY20 Initial Budget Allocat FTE'!BP$121</f>
        <v>0</v>
      </c>
      <c r="BQ35" s="115">
        <f>'[8]FY20 Initial Budget Allocat (2)'!BQ35/'FY20 Initial Budget Allocat FTE'!BQ$121</f>
        <v>0</v>
      </c>
      <c r="BR35" s="115">
        <f>'[8]FY20 Initial Budget Allocat (2)'!BR35/'FY20 Initial Budget Allocat FTE'!BR$121</f>
        <v>0</v>
      </c>
      <c r="BS35" s="115">
        <f>'[8]FY20 Initial Budget Allocat (2)'!BS35/'FY20 Initial Budget Allocat FTE'!BS$121</f>
        <v>0</v>
      </c>
      <c r="BT35" s="115">
        <f>'[8]FY20 Initial Budget Allocat (2)'!BT35/'FY20 Initial Budget Allocat FTE'!BT$121</f>
        <v>0</v>
      </c>
      <c r="BU35" s="115">
        <f>'[8]FY20 Initial Budget Allocat (2)'!BU35/'FY20 Initial Budget Allocat FTE'!BU$121</f>
        <v>0</v>
      </c>
      <c r="BV35" s="115">
        <f>'[8]FY20 Initial Budget Allocat (2)'!BV35/'FY20 Initial Budget Allocat FTE'!BV$121</f>
        <v>0</v>
      </c>
      <c r="BW35" s="80">
        <v>0</v>
      </c>
      <c r="BX35" s="80">
        <v>0</v>
      </c>
      <c r="BY35" s="80">
        <v>0</v>
      </c>
      <c r="BZ35" s="80">
        <v>0</v>
      </c>
      <c r="CA35" s="115">
        <f>'[8]FY20 Initial Budget Allocat (2)'!CA35/'FY20 Initial Budget Allocat FTE'!CA$121</f>
        <v>0</v>
      </c>
      <c r="CB35" s="115">
        <f>'[8]FY20 Initial Budget Allocat (2)'!CB35/'FY20 Initial Budget Allocat FTE'!CB$121</f>
        <v>0</v>
      </c>
      <c r="CC35" s="80">
        <v>0</v>
      </c>
      <c r="CD35" s="115">
        <f>'[8]FY20 Initial Budget Allocat (2)'!CD35/'FY20 Initial Budget Allocat FTE'!CD$121</f>
        <v>0</v>
      </c>
      <c r="CE35" s="115">
        <f>'[8]FY20 Initial Budget Allocat (2)'!CE35/'FY20 Initial Budget Allocat FTE'!CE$121</f>
        <v>0</v>
      </c>
      <c r="CF35" s="115">
        <f>'[8]FY20 Initial Budget Allocat (2)'!CF35/'FY20 Initial Budget Allocat FTE'!CF$121</f>
        <v>0</v>
      </c>
      <c r="CG35" s="115">
        <f>'[8]FY20 Initial Budget Allocat (2)'!CG35/'FY20 Initial Budget Allocat FTE'!CG$121</f>
        <v>0</v>
      </c>
      <c r="CH35" s="115">
        <f>'[8]FY20 Initial Budget Allocat (2)'!CH35/'FY20 Initial Budget Allocat FTE'!CH$121</f>
        <v>0</v>
      </c>
      <c r="CI35" s="115">
        <f>'[8]FY20 Initial Budget Allocat (2)'!CI35/'FY20 Initial Budget Allocat FTE'!CI$121</f>
        <v>2</v>
      </c>
      <c r="CJ35" s="115">
        <f>'[8]FY20 Initial Budget Allocat (2)'!CJ35/'FY20 Initial Budget Allocat FTE'!CJ$121</f>
        <v>0</v>
      </c>
      <c r="CK35" s="79">
        <v>23000</v>
      </c>
      <c r="CL35" s="79">
        <v>5000</v>
      </c>
      <c r="CM35" s="79">
        <v>108165.6</v>
      </c>
      <c r="CN35" s="79">
        <v>100000</v>
      </c>
      <c r="CO35" s="115">
        <f>'[8]FY20 Initial Budget Allocat (2)'!CO35/'FY20 Initial Budget Allocat FTE'!CO$121</f>
        <v>0</v>
      </c>
      <c r="CP35" s="79">
        <v>0</v>
      </c>
      <c r="CQ35" s="79">
        <v>6981.9999999999991</v>
      </c>
      <c r="CR35" s="79">
        <v>0</v>
      </c>
      <c r="CS35" s="79">
        <v>29306.863636363636</v>
      </c>
      <c r="CT35" s="115">
        <f>'[8]FY20 Initial Budget Allocat (2)'!CT35/'FY20 Initial Budget Allocat FTE'!CT$121</f>
        <v>0</v>
      </c>
      <c r="CU35" s="115">
        <f>'[8]FY20 Initial Budget Allocat (2)'!CU35/'FY20 Initial Budget Allocat FTE'!CU$121</f>
        <v>0</v>
      </c>
      <c r="CV35" s="79"/>
      <c r="CW35" s="79">
        <v>0</v>
      </c>
      <c r="CX35" s="115">
        <f>'[8]FY20 Initial Budget Allocat (2)'!CX35/'FY20 Initial Budget Allocat FTE'!CX$121</f>
        <v>0</v>
      </c>
      <c r="CY35" s="79">
        <v>0</v>
      </c>
      <c r="CZ35" s="79">
        <v>0</v>
      </c>
      <c r="DA35" s="79">
        <v>49300</v>
      </c>
      <c r="DB35" s="79">
        <v>97631.438689737304</v>
      </c>
      <c r="DC35" s="82">
        <v>0</v>
      </c>
      <c r="DD35" s="79">
        <v>15363.214285714286</v>
      </c>
      <c r="DE35" s="79"/>
      <c r="DF35" s="79">
        <v>24900</v>
      </c>
      <c r="DG35" s="79">
        <v>0</v>
      </c>
      <c r="DH35" s="83">
        <v>0</v>
      </c>
      <c r="DI35" s="79">
        <v>13658.762619680187</v>
      </c>
      <c r="DJ35" s="79">
        <v>6733769.9715023329</v>
      </c>
      <c r="DK35" s="84">
        <v>284025.02849766705</v>
      </c>
      <c r="DL35" s="84">
        <v>389619.44</v>
      </c>
      <c r="DM35" s="84">
        <f t="shared" si="0"/>
        <v>7407414.4400000004</v>
      </c>
      <c r="DN35" s="116">
        <f t="shared" si="1"/>
        <v>9</v>
      </c>
      <c r="DO35" s="116">
        <f t="shared" si="2"/>
        <v>9</v>
      </c>
      <c r="DP35" s="116">
        <f t="shared" si="3"/>
        <v>16.7</v>
      </c>
      <c r="DQ35" s="116">
        <f t="shared" si="4"/>
        <v>11.045454545454545</v>
      </c>
      <c r="DR35" s="116">
        <f t="shared" si="5"/>
        <v>0</v>
      </c>
    </row>
    <row r="36" spans="1:122" x14ac:dyDescent="0.25">
      <c r="A36" s="76">
        <v>238</v>
      </c>
      <c r="B36" s="76" t="s">
        <v>174</v>
      </c>
      <c r="C36" s="77" t="s">
        <v>135</v>
      </c>
      <c r="D36" s="41">
        <v>8</v>
      </c>
      <c r="E36" s="78">
        <v>286</v>
      </c>
      <c r="F36" s="78">
        <v>247.48648648648648</v>
      </c>
      <c r="G36" s="115">
        <f>'[8]FY20 Initial Budget Allocat (2)'!G36/'FY20 Initial Budget Allocat FTE'!G$121</f>
        <v>1</v>
      </c>
      <c r="H36" s="115">
        <f>'[8]FY20 Initial Budget Allocat (2)'!H36/'FY20 Initial Budget Allocat FTE'!H$121</f>
        <v>1</v>
      </c>
      <c r="I36" s="115">
        <f>'[8]FY20 Initial Budget Allocat (2)'!I36/'FY20 Initial Budget Allocat FTE'!I$121</f>
        <v>0</v>
      </c>
      <c r="J36" s="115">
        <f>'[8]FY20 Initial Budget Allocat (2)'!J36/'FY20 Initial Budget Allocat FTE'!J$121</f>
        <v>0</v>
      </c>
      <c r="K36" s="115">
        <f>'[8]FY20 Initial Budget Allocat (2)'!K36/'FY20 Initial Budget Allocat FTE'!K$121</f>
        <v>0</v>
      </c>
      <c r="L36" s="115">
        <f>'[8]FY20 Initial Budget Allocat (2)'!L36/'FY20 Initial Budget Allocat FTE'!L$121</f>
        <v>0.5</v>
      </c>
      <c r="M36" s="115">
        <f>'[8]FY20 Initial Budget Allocat (2)'!M36/'FY20 Initial Budget Allocat FTE'!M$121</f>
        <v>1</v>
      </c>
      <c r="N36" s="115">
        <f>'[8]FY20 Initial Budget Allocat (2)'!N36/'FY20 Initial Budget Allocat FTE'!N$121</f>
        <v>0</v>
      </c>
      <c r="O36" s="115">
        <f>'[8]FY20 Initial Budget Allocat (2)'!O36/'FY20 Initial Budget Allocat FTE'!O$121</f>
        <v>0</v>
      </c>
      <c r="P36" s="115">
        <f>'[8]FY20 Initial Budget Allocat (2)'!P36/'FY20 Initial Budget Allocat FTE'!P$121</f>
        <v>0</v>
      </c>
      <c r="Q36" s="115">
        <f>'[8]FY20 Initial Budget Allocat (2)'!Q36/'FY20 Initial Budget Allocat FTE'!Q$121</f>
        <v>0</v>
      </c>
      <c r="R36" s="115">
        <f>'[8]FY20 Initial Budget Allocat (2)'!R36/'FY20 Initial Budget Allocat FTE'!R$121</f>
        <v>1</v>
      </c>
      <c r="S36" s="115">
        <f>'[8]FY20 Initial Budget Allocat (2)'!S36/'FY20 Initial Budget Allocat FTE'!S$121</f>
        <v>1</v>
      </c>
      <c r="T36" s="115">
        <f>'[8]FY20 Initial Budget Allocat (2)'!T36/'FY20 Initial Budget Allocat FTE'!T$121</f>
        <v>1</v>
      </c>
      <c r="U36" s="115">
        <f>'[8]FY20 Initial Budget Allocat (2)'!U36/'FY20 Initial Budget Allocat FTE'!U$121</f>
        <v>0.5</v>
      </c>
      <c r="V36" s="115">
        <f>'[8]FY20 Initial Budget Allocat (2)'!V36/'FY20 Initial Budget Allocat FTE'!V$121</f>
        <v>1</v>
      </c>
      <c r="W36" s="115">
        <f>'[8]FY20 Initial Budget Allocat (2)'!W36/'FY20 Initial Budget Allocat FTE'!W$121</f>
        <v>1</v>
      </c>
      <c r="X36" s="115">
        <f>'[8]FY20 Initial Budget Allocat (2)'!X36/'FY20 Initial Budget Allocat FTE'!X$121</f>
        <v>1</v>
      </c>
      <c r="Y36" s="115">
        <f>'[8]FY20 Initial Budget Allocat (2)'!Y36/'FY20 Initial Budget Allocat FTE'!Y$121</f>
        <v>0</v>
      </c>
      <c r="Z36" s="115">
        <f>'[8]FY20 Initial Budget Allocat (2)'!Z36/'FY20 Initial Budget Allocat FTE'!Z$121</f>
        <v>0</v>
      </c>
      <c r="AA36" s="115">
        <f>'[8]FY20 Initial Budget Allocat (2)'!AA36/'FY20 Initial Budget Allocat FTE'!AA$121</f>
        <v>1</v>
      </c>
      <c r="AB36" s="115">
        <f>'[8]FY20 Initial Budget Allocat (2)'!AB36/'FY20 Initial Budget Allocat FTE'!AB$121</f>
        <v>1</v>
      </c>
      <c r="AC36" s="115">
        <f>'[8]FY20 Initial Budget Allocat (2)'!AC36/'FY20 Initial Budget Allocat FTE'!AC$121</f>
        <v>1</v>
      </c>
      <c r="AD36" s="115">
        <f>'[8]FY20 Initial Budget Allocat (2)'!AD36/'FY20 Initial Budget Allocat FTE'!AD$121</f>
        <v>1</v>
      </c>
      <c r="AE36" s="115">
        <f>'[8]FY20 Initial Budget Allocat (2)'!AE36/'FY20 Initial Budget Allocat FTE'!AE$121</f>
        <v>1</v>
      </c>
      <c r="AF36" s="115">
        <f>'[8]FY20 Initial Budget Allocat (2)'!AF36/'FY20 Initial Budget Allocat FTE'!AF$121</f>
        <v>1</v>
      </c>
      <c r="AG36" s="115">
        <f>'[8]FY20 Initial Budget Allocat (2)'!AG36/'FY20 Initial Budget Allocat FTE'!AG$121</f>
        <v>1</v>
      </c>
      <c r="AH36" s="115">
        <f>'[8]FY20 Initial Budget Allocat (2)'!AH36/'FY20 Initial Budget Allocat FTE'!AH$121</f>
        <v>1</v>
      </c>
      <c r="AI36" s="115">
        <f>'[8]FY20 Initial Budget Allocat (2)'!AI36/'FY20 Initial Budget Allocat FTE'!AI$121</f>
        <v>2</v>
      </c>
      <c r="AJ36" s="115">
        <f>'[8]FY20 Initial Budget Allocat (2)'!AJ36/'FY20 Initial Budget Allocat FTE'!AJ$121</f>
        <v>2</v>
      </c>
      <c r="AK36" s="115">
        <f>'[8]FY20 Initial Budget Allocat (2)'!AK36/'FY20 Initial Budget Allocat FTE'!AK$121</f>
        <v>2</v>
      </c>
      <c r="AL36" s="115">
        <f>'[8]FY20 Initial Budget Allocat (2)'!AL36/'FY20 Initial Budget Allocat FTE'!AL$121</f>
        <v>3.0000000000000004</v>
      </c>
      <c r="AM36" s="115">
        <f>'[8]FY20 Initial Budget Allocat (2)'!AM36/'FY20 Initial Budget Allocat FTE'!AM$121</f>
        <v>2</v>
      </c>
      <c r="AN36" s="115">
        <f>'[8]FY20 Initial Budget Allocat (2)'!AN36/'FY20 Initial Budget Allocat FTE'!AN$121</f>
        <v>0</v>
      </c>
      <c r="AO36" s="115">
        <f>'[8]FY20 Initial Budget Allocat (2)'!AO36/'FY20 Initial Budget Allocat FTE'!AO$121</f>
        <v>0</v>
      </c>
      <c r="AP36" s="115">
        <f>'[8]FY20 Initial Budget Allocat (2)'!AP36/'FY20 Initial Budget Allocat FTE'!AP$121</f>
        <v>0</v>
      </c>
      <c r="AQ36" s="115">
        <f>'[8]FY20 Initial Budget Allocat (2)'!AQ36/'FY20 Initial Budget Allocat FTE'!AQ$121</f>
        <v>0</v>
      </c>
      <c r="AR36" s="115">
        <f>'[8]FY20 Initial Budget Allocat (2)'!AR36/'FY20 Initial Budget Allocat FTE'!AR$121</f>
        <v>0</v>
      </c>
      <c r="AS36" s="115">
        <f>'[8]FY20 Initial Budget Allocat (2)'!AS36/'FY20 Initial Budget Allocat FTE'!AS$121</f>
        <v>0</v>
      </c>
      <c r="AT36" s="115">
        <f>'[8]FY20 Initial Budget Allocat (2)'!AT36/'FY20 Initial Budget Allocat FTE'!AT$121</f>
        <v>0</v>
      </c>
      <c r="AU36" s="115">
        <f>'[8]FY20 Initial Budget Allocat (2)'!AU36/'FY20 Initial Budget Allocat FTE'!AU$121</f>
        <v>0</v>
      </c>
      <c r="AV36" s="115">
        <f>'[8]FY20 Initial Budget Allocat (2)'!AV36/'FY20 Initial Budget Allocat FTE'!AV$121</f>
        <v>0</v>
      </c>
      <c r="AW36" s="115">
        <f>'[8]FY20 Initial Budget Allocat (2)'!AW36/'FY20 Initial Budget Allocat FTE'!AW$121</f>
        <v>0</v>
      </c>
      <c r="AX36" s="115">
        <f>'[8]FY20 Initial Budget Allocat (2)'!AX36/'FY20 Initial Budget Allocat FTE'!AX$121</f>
        <v>1</v>
      </c>
      <c r="AY36" s="115">
        <f>'[8]FY20 Initial Budget Allocat (2)'!AY36/'FY20 Initial Budget Allocat FTE'!AY$121</f>
        <v>1</v>
      </c>
      <c r="AZ36" s="115">
        <f>'[8]FY20 Initial Budget Allocat (2)'!AZ36/'FY20 Initial Budget Allocat FTE'!AZ$121</f>
        <v>5</v>
      </c>
      <c r="BA36" s="115">
        <f>'[8]FY20 Initial Budget Allocat (2)'!BA36/'FY20 Initial Budget Allocat FTE'!BA$121</f>
        <v>6</v>
      </c>
      <c r="BB36" s="115">
        <f>'[8]FY20 Initial Budget Allocat (2)'!BB36/'FY20 Initial Budget Allocat FTE'!BB$121</f>
        <v>0</v>
      </c>
      <c r="BC36" s="115">
        <f>'[8]FY20 Initial Budget Allocat (2)'!BC36/'FY20 Initial Budget Allocat FTE'!BC$121</f>
        <v>0</v>
      </c>
      <c r="BD36" s="115">
        <f>'[8]FY20 Initial Budget Allocat (2)'!BD36/'FY20 Initial Budget Allocat FTE'!BD$121</f>
        <v>9.0909090909090912E-2</v>
      </c>
      <c r="BE36" s="115">
        <f>'[8]FY20 Initial Budget Allocat (2)'!BE36/'FY20 Initial Budget Allocat FTE'!BE$121</f>
        <v>0</v>
      </c>
      <c r="BF36" s="115">
        <f>'[8]FY20 Initial Budget Allocat (2)'!BF36/'FY20 Initial Budget Allocat FTE'!BF$121</f>
        <v>0</v>
      </c>
      <c r="BG36" s="115">
        <f>'[8]FY20 Initial Budget Allocat (2)'!BG36/'FY20 Initial Budget Allocat FTE'!BG$121</f>
        <v>2.1251921149348481</v>
      </c>
      <c r="BH36" s="115">
        <f>'[8]FY20 Initial Budget Allocat (2)'!BH36/'FY20 Initial Budget Allocat FTE'!BH$121</f>
        <v>5</v>
      </c>
      <c r="BI36" s="115">
        <f>'[8]FY20 Initial Budget Allocat (2)'!BI36/'FY20 Initial Budget Allocat FTE'!BI$121</f>
        <v>1</v>
      </c>
      <c r="BJ36" s="79"/>
      <c r="BK36" s="79">
        <v>0</v>
      </c>
      <c r="BL36" s="79">
        <v>17208.599999999999</v>
      </c>
      <c r="BM36" s="79">
        <v>143092.13</v>
      </c>
      <c r="BN36" s="79">
        <v>2276.9699999999998</v>
      </c>
      <c r="BO36" s="79">
        <v>0</v>
      </c>
      <c r="BP36" s="115">
        <f>'[8]FY20 Initial Budget Allocat (2)'!BP36/'FY20 Initial Budget Allocat FTE'!BP$121</f>
        <v>0</v>
      </c>
      <c r="BQ36" s="115">
        <f>'[8]FY20 Initial Budget Allocat (2)'!BQ36/'FY20 Initial Budget Allocat FTE'!BQ$121</f>
        <v>0</v>
      </c>
      <c r="BR36" s="115">
        <f>'[8]FY20 Initial Budget Allocat (2)'!BR36/'FY20 Initial Budget Allocat FTE'!BR$121</f>
        <v>0</v>
      </c>
      <c r="BS36" s="115">
        <f>'[8]FY20 Initial Budget Allocat (2)'!BS36/'FY20 Initial Budget Allocat FTE'!BS$121</f>
        <v>0</v>
      </c>
      <c r="BT36" s="115">
        <f>'[8]FY20 Initial Budget Allocat (2)'!BT36/'FY20 Initial Budget Allocat FTE'!BT$121</f>
        <v>0</v>
      </c>
      <c r="BU36" s="115">
        <f>'[8]FY20 Initial Budget Allocat (2)'!BU36/'FY20 Initial Budget Allocat FTE'!BU$121</f>
        <v>0</v>
      </c>
      <c r="BV36" s="115">
        <f>'[8]FY20 Initial Budget Allocat (2)'!BV36/'FY20 Initial Budget Allocat FTE'!BV$121</f>
        <v>0</v>
      </c>
      <c r="BW36" s="80">
        <v>0</v>
      </c>
      <c r="BX36" s="80">
        <v>0</v>
      </c>
      <c r="BY36" s="80">
        <v>0</v>
      </c>
      <c r="BZ36" s="80">
        <v>0</v>
      </c>
      <c r="CA36" s="115">
        <f>'[8]FY20 Initial Budget Allocat (2)'!CA36/'FY20 Initial Budget Allocat FTE'!CA$121</f>
        <v>0</v>
      </c>
      <c r="CB36" s="115">
        <f>'[8]FY20 Initial Budget Allocat (2)'!CB36/'FY20 Initial Budget Allocat FTE'!CB$121</f>
        <v>0</v>
      </c>
      <c r="CC36" s="80">
        <v>0</v>
      </c>
      <c r="CD36" s="115">
        <f>'[8]FY20 Initial Budget Allocat (2)'!CD36/'FY20 Initial Budget Allocat FTE'!CD$121</f>
        <v>0</v>
      </c>
      <c r="CE36" s="115">
        <f>'[8]FY20 Initial Budget Allocat (2)'!CE36/'FY20 Initial Budget Allocat FTE'!CE$121</f>
        <v>0</v>
      </c>
      <c r="CF36" s="115">
        <f>'[8]FY20 Initial Budget Allocat (2)'!CF36/'FY20 Initial Budget Allocat FTE'!CF$121</f>
        <v>0</v>
      </c>
      <c r="CG36" s="115">
        <f>'[8]FY20 Initial Budget Allocat (2)'!CG36/'FY20 Initial Budget Allocat FTE'!CG$121</f>
        <v>0</v>
      </c>
      <c r="CH36" s="115">
        <f>'[8]FY20 Initial Budget Allocat (2)'!CH36/'FY20 Initial Budget Allocat FTE'!CH$121</f>
        <v>0</v>
      </c>
      <c r="CI36" s="115">
        <f>'[8]FY20 Initial Budget Allocat (2)'!CI36/'FY20 Initial Budget Allocat FTE'!CI$121</f>
        <v>0</v>
      </c>
      <c r="CJ36" s="115">
        <f>'[8]FY20 Initial Budget Allocat (2)'!CJ36/'FY20 Initial Budget Allocat FTE'!CJ$121</f>
        <v>0</v>
      </c>
      <c r="CK36" s="79">
        <v>0</v>
      </c>
      <c r="CL36" s="79">
        <v>0</v>
      </c>
      <c r="CM36" s="79">
        <v>57070.8</v>
      </c>
      <c r="CN36" s="79">
        <v>0</v>
      </c>
      <c r="CO36" s="115">
        <f>'[8]FY20 Initial Budget Allocat (2)'!CO36/'FY20 Initial Budget Allocat FTE'!CO$121</f>
        <v>0</v>
      </c>
      <c r="CP36" s="79">
        <v>0</v>
      </c>
      <c r="CQ36" s="79">
        <v>9899.45945945946</v>
      </c>
      <c r="CR36" s="79">
        <v>0</v>
      </c>
      <c r="CS36" s="79">
        <v>16632.902465753425</v>
      </c>
      <c r="CT36" s="115">
        <f>'[8]FY20 Initial Budget Allocat (2)'!CT36/'FY20 Initial Budget Allocat FTE'!CT$121</f>
        <v>0</v>
      </c>
      <c r="CU36" s="115">
        <f>'[8]FY20 Initial Budget Allocat (2)'!CU36/'FY20 Initial Budget Allocat FTE'!CU$121</f>
        <v>0</v>
      </c>
      <c r="CV36" s="79"/>
      <c r="CW36" s="79">
        <v>0</v>
      </c>
      <c r="CX36" s="115">
        <f>'[8]FY20 Initial Budget Allocat (2)'!CX36/'FY20 Initial Budget Allocat FTE'!CX$121</f>
        <v>0</v>
      </c>
      <c r="CY36" s="79">
        <v>0</v>
      </c>
      <c r="CZ36" s="79">
        <v>0</v>
      </c>
      <c r="DA36" s="79">
        <v>28600</v>
      </c>
      <c r="DB36" s="79">
        <v>59436.748021710409</v>
      </c>
      <c r="DC36" s="82">
        <v>0</v>
      </c>
      <c r="DD36" s="79">
        <v>15363.214285714286</v>
      </c>
      <c r="DE36" s="79"/>
      <c r="DF36" s="79">
        <v>21300</v>
      </c>
      <c r="DG36" s="79">
        <v>0</v>
      </c>
      <c r="DH36" s="83"/>
      <c r="DI36" s="79">
        <v>14371.047915531397</v>
      </c>
      <c r="DJ36" s="79">
        <v>4110119.7038419791</v>
      </c>
      <c r="DK36" s="84">
        <v>54557.29615802085</v>
      </c>
      <c r="DL36" s="84">
        <v>217676.06</v>
      </c>
      <c r="DM36" s="84">
        <f t="shared" si="0"/>
        <v>4382353.0599999996</v>
      </c>
      <c r="DN36" s="116">
        <f t="shared" si="1"/>
        <v>4</v>
      </c>
      <c r="DO36" s="116">
        <f t="shared" si="2"/>
        <v>4</v>
      </c>
      <c r="DP36" s="116">
        <f t="shared" si="3"/>
        <v>11</v>
      </c>
      <c r="DQ36" s="116">
        <f t="shared" si="4"/>
        <v>7.0909090909090908</v>
      </c>
      <c r="DR36" s="116">
        <f t="shared" si="5"/>
        <v>6</v>
      </c>
    </row>
    <row r="37" spans="1:122" x14ac:dyDescent="0.25">
      <c r="A37" s="76">
        <v>239</v>
      </c>
      <c r="B37" s="76" t="s">
        <v>175</v>
      </c>
      <c r="C37" s="77" t="s">
        <v>135</v>
      </c>
      <c r="D37" s="41">
        <v>2</v>
      </c>
      <c r="E37" s="78">
        <v>284</v>
      </c>
      <c r="F37" s="78">
        <v>140.36507936507937</v>
      </c>
      <c r="G37" s="115">
        <f>'[8]FY20 Initial Budget Allocat (2)'!G37/'FY20 Initial Budget Allocat FTE'!G$121</f>
        <v>1</v>
      </c>
      <c r="H37" s="115">
        <f>'[8]FY20 Initial Budget Allocat (2)'!H37/'FY20 Initial Budget Allocat FTE'!H$121</f>
        <v>1</v>
      </c>
      <c r="I37" s="115">
        <f>'[8]FY20 Initial Budget Allocat (2)'!I37/'FY20 Initial Budget Allocat FTE'!I$121</f>
        <v>0</v>
      </c>
      <c r="J37" s="115">
        <f>'[8]FY20 Initial Budget Allocat (2)'!J37/'FY20 Initial Budget Allocat FTE'!J$121</f>
        <v>0</v>
      </c>
      <c r="K37" s="115">
        <f>'[8]FY20 Initial Budget Allocat (2)'!K37/'FY20 Initial Budget Allocat FTE'!K$121</f>
        <v>0</v>
      </c>
      <c r="L37" s="115">
        <f>'[8]FY20 Initial Budget Allocat (2)'!L37/'FY20 Initial Budget Allocat FTE'!L$121</f>
        <v>0.5</v>
      </c>
      <c r="M37" s="115">
        <f>'[8]FY20 Initial Budget Allocat (2)'!M37/'FY20 Initial Budget Allocat FTE'!M$121</f>
        <v>1</v>
      </c>
      <c r="N37" s="115">
        <f>'[8]FY20 Initial Budget Allocat (2)'!N37/'FY20 Initial Budget Allocat FTE'!N$121</f>
        <v>0</v>
      </c>
      <c r="O37" s="115">
        <f>'[8]FY20 Initial Budget Allocat (2)'!O37/'FY20 Initial Budget Allocat FTE'!O$121</f>
        <v>0</v>
      </c>
      <c r="P37" s="115">
        <f>'[8]FY20 Initial Budget Allocat (2)'!P37/'FY20 Initial Budget Allocat FTE'!P$121</f>
        <v>0</v>
      </c>
      <c r="Q37" s="115">
        <f>'[8]FY20 Initial Budget Allocat (2)'!Q37/'FY20 Initial Budget Allocat FTE'!Q$121</f>
        <v>0</v>
      </c>
      <c r="R37" s="115">
        <f>'[8]FY20 Initial Budget Allocat (2)'!R37/'FY20 Initial Budget Allocat FTE'!R$121</f>
        <v>1</v>
      </c>
      <c r="S37" s="115">
        <f>'[8]FY20 Initial Budget Allocat (2)'!S37/'FY20 Initial Budget Allocat FTE'!S$121</f>
        <v>1</v>
      </c>
      <c r="T37" s="115">
        <f>'[8]FY20 Initial Budget Allocat (2)'!T37/'FY20 Initial Budget Allocat FTE'!T$121</f>
        <v>1</v>
      </c>
      <c r="U37" s="115">
        <f>'[8]FY20 Initial Budget Allocat (2)'!U37/'FY20 Initial Budget Allocat FTE'!U$121</f>
        <v>0.5</v>
      </c>
      <c r="V37" s="115">
        <f>'[8]FY20 Initial Budget Allocat (2)'!V37/'FY20 Initial Budget Allocat FTE'!V$121</f>
        <v>1</v>
      </c>
      <c r="W37" s="115">
        <f>'[8]FY20 Initial Budget Allocat (2)'!W37/'FY20 Initial Budget Allocat FTE'!W$121</f>
        <v>1</v>
      </c>
      <c r="X37" s="115">
        <f>'[8]FY20 Initial Budget Allocat (2)'!X37/'FY20 Initial Budget Allocat FTE'!X$121</f>
        <v>1</v>
      </c>
      <c r="Y37" s="115">
        <f>'[8]FY20 Initial Budget Allocat (2)'!Y37/'FY20 Initial Budget Allocat FTE'!Y$121</f>
        <v>0</v>
      </c>
      <c r="Z37" s="115">
        <f>'[8]FY20 Initial Budget Allocat (2)'!Z37/'FY20 Initial Budget Allocat FTE'!Z$121</f>
        <v>0</v>
      </c>
      <c r="AA37" s="115">
        <f>'[8]FY20 Initial Budget Allocat (2)'!AA37/'FY20 Initial Budget Allocat FTE'!AA$121</f>
        <v>0</v>
      </c>
      <c r="AB37" s="115">
        <f>'[8]FY20 Initial Budget Allocat (2)'!AB37/'FY20 Initial Budget Allocat FTE'!AB$121</f>
        <v>0</v>
      </c>
      <c r="AC37" s="115">
        <f>'[8]FY20 Initial Budget Allocat (2)'!AC37/'FY20 Initial Budget Allocat FTE'!AC$121</f>
        <v>5</v>
      </c>
      <c r="AD37" s="115">
        <f>'[8]FY20 Initial Budget Allocat (2)'!AD37/'FY20 Initial Budget Allocat FTE'!AD$121</f>
        <v>6</v>
      </c>
      <c r="AE37" s="115">
        <f>'[8]FY20 Initial Budget Allocat (2)'!AE37/'FY20 Initial Budget Allocat FTE'!AE$121</f>
        <v>0</v>
      </c>
      <c r="AF37" s="115">
        <f>'[8]FY20 Initial Budget Allocat (2)'!AF37/'FY20 Initial Budget Allocat FTE'!AF$121</f>
        <v>0</v>
      </c>
      <c r="AG37" s="115">
        <f>'[8]FY20 Initial Budget Allocat (2)'!AG37/'FY20 Initial Budget Allocat FTE'!AG$121</f>
        <v>2</v>
      </c>
      <c r="AH37" s="115">
        <f>'[8]FY20 Initial Budget Allocat (2)'!AH37/'FY20 Initial Budget Allocat FTE'!AH$121</f>
        <v>2</v>
      </c>
      <c r="AI37" s="115">
        <f>'[8]FY20 Initial Budget Allocat (2)'!AI37/'FY20 Initial Budget Allocat FTE'!AI$121</f>
        <v>2</v>
      </c>
      <c r="AJ37" s="115">
        <f>'[8]FY20 Initial Budget Allocat (2)'!AJ37/'FY20 Initial Budget Allocat FTE'!AJ$121</f>
        <v>2</v>
      </c>
      <c r="AK37" s="115">
        <f>'[8]FY20 Initial Budget Allocat (2)'!AK37/'FY20 Initial Budget Allocat FTE'!AK$121</f>
        <v>2</v>
      </c>
      <c r="AL37" s="115">
        <f>'[8]FY20 Initial Budget Allocat (2)'!AL37/'FY20 Initial Budget Allocat FTE'!AL$121</f>
        <v>1</v>
      </c>
      <c r="AM37" s="115">
        <f>'[8]FY20 Initial Budget Allocat (2)'!AM37/'FY20 Initial Budget Allocat FTE'!AM$121</f>
        <v>2</v>
      </c>
      <c r="AN37" s="115">
        <f>'[8]FY20 Initial Budget Allocat (2)'!AN37/'FY20 Initial Budget Allocat FTE'!AN$121</f>
        <v>0</v>
      </c>
      <c r="AO37" s="115">
        <f>'[8]FY20 Initial Budget Allocat (2)'!AO37/'FY20 Initial Budget Allocat FTE'!AO$121</f>
        <v>0</v>
      </c>
      <c r="AP37" s="115">
        <f>'[8]FY20 Initial Budget Allocat (2)'!AP37/'FY20 Initial Budget Allocat FTE'!AP$121</f>
        <v>0</v>
      </c>
      <c r="AQ37" s="115">
        <f>'[8]FY20 Initial Budget Allocat (2)'!AQ37/'FY20 Initial Budget Allocat FTE'!AQ$121</f>
        <v>0</v>
      </c>
      <c r="AR37" s="115">
        <f>'[8]FY20 Initial Budget Allocat (2)'!AR37/'FY20 Initial Budget Allocat FTE'!AR$121</f>
        <v>0</v>
      </c>
      <c r="AS37" s="115">
        <f>'[8]FY20 Initial Budget Allocat (2)'!AS37/'FY20 Initial Budget Allocat FTE'!AS$121</f>
        <v>0</v>
      </c>
      <c r="AT37" s="115">
        <f>'[8]FY20 Initial Budget Allocat (2)'!AT37/'FY20 Initial Budget Allocat FTE'!AT$121</f>
        <v>0</v>
      </c>
      <c r="AU37" s="115">
        <f>'[8]FY20 Initial Budget Allocat (2)'!AU37/'FY20 Initial Budget Allocat FTE'!AU$121</f>
        <v>0</v>
      </c>
      <c r="AV37" s="115">
        <f>'[8]FY20 Initial Budget Allocat (2)'!AV37/'FY20 Initial Budget Allocat FTE'!AV$121</f>
        <v>0</v>
      </c>
      <c r="AW37" s="115">
        <f>'[8]FY20 Initial Budget Allocat (2)'!AW37/'FY20 Initial Budget Allocat FTE'!AW$121</f>
        <v>0</v>
      </c>
      <c r="AX37" s="115">
        <f>'[8]FY20 Initial Budget Allocat (2)'!AX37/'FY20 Initial Budget Allocat FTE'!AX$121</f>
        <v>0.5</v>
      </c>
      <c r="AY37" s="115">
        <f>'[8]FY20 Initial Budget Allocat (2)'!AY37/'FY20 Initial Budget Allocat FTE'!AY$121</f>
        <v>1</v>
      </c>
      <c r="AZ37" s="115">
        <f>'[8]FY20 Initial Budget Allocat (2)'!AZ37/'FY20 Initial Budget Allocat FTE'!AZ$121</f>
        <v>6.0000000000000009</v>
      </c>
      <c r="BA37" s="115">
        <f>'[8]FY20 Initial Budget Allocat (2)'!BA37/'FY20 Initial Budget Allocat FTE'!BA$121</f>
        <v>6</v>
      </c>
      <c r="BB37" s="115">
        <f>'[8]FY20 Initial Budget Allocat (2)'!BB37/'FY20 Initial Budget Allocat FTE'!BB$121</f>
        <v>0</v>
      </c>
      <c r="BC37" s="115">
        <f>'[8]FY20 Initial Budget Allocat (2)'!BC37/'FY20 Initial Budget Allocat FTE'!BC$121</f>
        <v>0</v>
      </c>
      <c r="BD37" s="115">
        <f>'[8]FY20 Initial Budget Allocat (2)'!BD37/'FY20 Initial Budget Allocat FTE'!BD$121</f>
        <v>4</v>
      </c>
      <c r="BE37" s="115">
        <f>'[8]FY20 Initial Budget Allocat (2)'!BE37/'FY20 Initial Budget Allocat FTE'!BE$121</f>
        <v>0</v>
      </c>
      <c r="BF37" s="115">
        <f>'[8]FY20 Initial Budget Allocat (2)'!BF37/'FY20 Initial Budget Allocat FTE'!BF$121</f>
        <v>0</v>
      </c>
      <c r="BG37" s="115">
        <f>'[8]FY20 Initial Budget Allocat (2)'!BG37/'FY20 Initial Budget Allocat FTE'!BG$121</f>
        <v>2.1251921149348481</v>
      </c>
      <c r="BH37" s="115">
        <f>'[8]FY20 Initial Budget Allocat (2)'!BH37/'FY20 Initial Budget Allocat FTE'!BH$121</f>
        <v>5</v>
      </c>
      <c r="BI37" s="115">
        <f>'[8]FY20 Initial Budget Allocat (2)'!BI37/'FY20 Initial Budget Allocat FTE'!BI$121</f>
        <v>1</v>
      </c>
      <c r="BJ37" s="79"/>
      <c r="BK37" s="79">
        <v>0</v>
      </c>
      <c r="BL37" s="79">
        <v>17208.599999999999</v>
      </c>
      <c r="BM37" s="79">
        <v>118847.28</v>
      </c>
      <c r="BN37" s="79">
        <v>1891.17</v>
      </c>
      <c r="BO37" s="79">
        <v>0</v>
      </c>
      <c r="BP37" s="115">
        <f>'[8]FY20 Initial Budget Allocat (2)'!BP37/'FY20 Initial Budget Allocat FTE'!BP$121</f>
        <v>0</v>
      </c>
      <c r="BQ37" s="115">
        <f>'[8]FY20 Initial Budget Allocat (2)'!BQ37/'FY20 Initial Budget Allocat FTE'!BQ$121</f>
        <v>0</v>
      </c>
      <c r="BR37" s="115">
        <f>'[8]FY20 Initial Budget Allocat (2)'!BR37/'FY20 Initial Budget Allocat FTE'!BR$121</f>
        <v>0</v>
      </c>
      <c r="BS37" s="115">
        <f>'[8]FY20 Initial Budget Allocat (2)'!BS37/'FY20 Initial Budget Allocat FTE'!BS$121</f>
        <v>0</v>
      </c>
      <c r="BT37" s="115">
        <f>'[8]FY20 Initial Budget Allocat (2)'!BT37/'FY20 Initial Budget Allocat FTE'!BT$121</f>
        <v>0</v>
      </c>
      <c r="BU37" s="115">
        <f>'[8]FY20 Initial Budget Allocat (2)'!BU37/'FY20 Initial Budget Allocat FTE'!BU$121</f>
        <v>0</v>
      </c>
      <c r="BV37" s="115">
        <f>'[8]FY20 Initial Budget Allocat (2)'!BV37/'FY20 Initial Budget Allocat FTE'!BV$121</f>
        <v>0</v>
      </c>
      <c r="BW37" s="80">
        <v>0</v>
      </c>
      <c r="BX37" s="80">
        <v>0</v>
      </c>
      <c r="BY37" s="80">
        <v>0</v>
      </c>
      <c r="BZ37" s="80">
        <v>0</v>
      </c>
      <c r="CA37" s="115">
        <f>'[8]FY20 Initial Budget Allocat (2)'!CA37/'FY20 Initial Budget Allocat FTE'!CA$121</f>
        <v>0</v>
      </c>
      <c r="CB37" s="115">
        <f>'[8]FY20 Initial Budget Allocat (2)'!CB37/'FY20 Initial Budget Allocat FTE'!CB$121</f>
        <v>0</v>
      </c>
      <c r="CC37" s="80">
        <v>0</v>
      </c>
      <c r="CD37" s="115">
        <f>'[8]FY20 Initial Budget Allocat (2)'!CD37/'FY20 Initial Budget Allocat FTE'!CD$121</f>
        <v>0</v>
      </c>
      <c r="CE37" s="115">
        <f>'[8]FY20 Initial Budget Allocat (2)'!CE37/'FY20 Initial Budget Allocat FTE'!CE$121</f>
        <v>0</v>
      </c>
      <c r="CF37" s="115">
        <f>'[8]FY20 Initial Budget Allocat (2)'!CF37/'FY20 Initial Budget Allocat FTE'!CF$121</f>
        <v>0</v>
      </c>
      <c r="CG37" s="115">
        <f>'[8]FY20 Initial Budget Allocat (2)'!CG37/'FY20 Initial Budget Allocat FTE'!CG$121</f>
        <v>0</v>
      </c>
      <c r="CH37" s="115">
        <f>'[8]FY20 Initial Budget Allocat (2)'!CH37/'FY20 Initial Budget Allocat FTE'!CH$121</f>
        <v>0</v>
      </c>
      <c r="CI37" s="115">
        <f>'[8]FY20 Initial Budget Allocat (2)'!CI37/'FY20 Initial Budget Allocat FTE'!CI$121</f>
        <v>0</v>
      </c>
      <c r="CJ37" s="115">
        <f>'[8]FY20 Initial Budget Allocat (2)'!CJ37/'FY20 Initial Budget Allocat FTE'!CJ$121</f>
        <v>0</v>
      </c>
      <c r="CK37" s="79">
        <v>0</v>
      </c>
      <c r="CL37" s="79">
        <v>0</v>
      </c>
      <c r="CM37" s="79">
        <v>54082.8</v>
      </c>
      <c r="CN37" s="79">
        <v>0</v>
      </c>
      <c r="CO37" s="115">
        <f>'[8]FY20 Initial Budget Allocat (2)'!CO37/'FY20 Initial Budget Allocat FTE'!CO$121</f>
        <v>0</v>
      </c>
      <c r="CP37" s="79">
        <v>0</v>
      </c>
      <c r="CQ37" s="79">
        <v>2807.3015873015875</v>
      </c>
      <c r="CR37" s="79">
        <v>0</v>
      </c>
      <c r="CS37" s="79">
        <v>16643.235955056181</v>
      </c>
      <c r="CT37" s="115">
        <f>'[8]FY20 Initial Budget Allocat (2)'!CT37/'FY20 Initial Budget Allocat FTE'!CT$121</f>
        <v>0</v>
      </c>
      <c r="CU37" s="115">
        <f>'[8]FY20 Initial Budget Allocat (2)'!CU37/'FY20 Initial Budget Allocat FTE'!CU$121</f>
        <v>0</v>
      </c>
      <c r="CV37" s="79"/>
      <c r="CW37" s="79">
        <v>0</v>
      </c>
      <c r="CX37" s="115">
        <f>'[8]FY20 Initial Budget Allocat (2)'!CX37/'FY20 Initial Budget Allocat FTE'!CX$121</f>
        <v>0</v>
      </c>
      <c r="CY37" s="79">
        <v>0</v>
      </c>
      <c r="CZ37" s="79">
        <v>0</v>
      </c>
      <c r="DA37" s="79">
        <v>28400</v>
      </c>
      <c r="DB37" s="79">
        <v>71154.642695792529</v>
      </c>
      <c r="DC37" s="82">
        <v>0</v>
      </c>
      <c r="DD37" s="79">
        <v>0</v>
      </c>
      <c r="DE37" s="79"/>
      <c r="DF37" s="79">
        <v>7600</v>
      </c>
      <c r="DG37" s="79">
        <v>0</v>
      </c>
      <c r="DH37" s="83">
        <v>0</v>
      </c>
      <c r="DI37" s="79">
        <v>16851.033291625135</v>
      </c>
      <c r="DJ37" s="79">
        <v>4785693.4548215382</v>
      </c>
      <c r="DK37" s="84">
        <v>34402.54517846182</v>
      </c>
      <c r="DL37" s="84">
        <v>0</v>
      </c>
      <c r="DM37" s="84">
        <f t="shared" si="0"/>
        <v>4820096</v>
      </c>
      <c r="DN37" s="116">
        <f t="shared" si="1"/>
        <v>7</v>
      </c>
      <c r="DO37" s="116">
        <f t="shared" si="2"/>
        <v>8</v>
      </c>
      <c r="DP37" s="116">
        <f t="shared" si="3"/>
        <v>9</v>
      </c>
      <c r="DQ37" s="116">
        <f t="shared" si="4"/>
        <v>11.5</v>
      </c>
      <c r="DR37" s="116">
        <f t="shared" si="5"/>
        <v>6</v>
      </c>
    </row>
    <row r="38" spans="1:122" x14ac:dyDescent="0.25">
      <c r="A38" s="76">
        <v>227</v>
      </c>
      <c r="B38" s="76" t="s">
        <v>176</v>
      </c>
      <c r="C38" s="77" t="s">
        <v>135</v>
      </c>
      <c r="D38" s="41">
        <v>1</v>
      </c>
      <c r="E38" s="78">
        <v>395</v>
      </c>
      <c r="F38" s="78">
        <v>227.65296803652967</v>
      </c>
      <c r="G38" s="115">
        <f>'[8]FY20 Initial Budget Allocat (2)'!G38/'FY20 Initial Budget Allocat FTE'!G$121</f>
        <v>1</v>
      </c>
      <c r="H38" s="115">
        <f>'[8]FY20 Initial Budget Allocat (2)'!H38/'FY20 Initial Budget Allocat FTE'!H$121</f>
        <v>1</v>
      </c>
      <c r="I38" s="115">
        <f>'[8]FY20 Initial Budget Allocat (2)'!I38/'FY20 Initial Budget Allocat FTE'!I$121</f>
        <v>1</v>
      </c>
      <c r="J38" s="115">
        <f>'[8]FY20 Initial Budget Allocat (2)'!J38/'FY20 Initial Budget Allocat FTE'!J$121</f>
        <v>0</v>
      </c>
      <c r="K38" s="115">
        <f>'[8]FY20 Initial Budget Allocat (2)'!K38/'FY20 Initial Budget Allocat FTE'!K$121</f>
        <v>0</v>
      </c>
      <c r="L38" s="115">
        <f>'[8]FY20 Initial Budget Allocat (2)'!L38/'FY20 Initial Budget Allocat FTE'!L$121</f>
        <v>1</v>
      </c>
      <c r="M38" s="115">
        <f>'[8]FY20 Initial Budget Allocat (2)'!M38/'FY20 Initial Budget Allocat FTE'!M$121</f>
        <v>1</v>
      </c>
      <c r="N38" s="115">
        <f>'[8]FY20 Initial Budget Allocat (2)'!N38/'FY20 Initial Budget Allocat FTE'!N$121</f>
        <v>0</v>
      </c>
      <c r="O38" s="115">
        <f>'[8]FY20 Initial Budget Allocat (2)'!O38/'FY20 Initial Budget Allocat FTE'!O$121</f>
        <v>0</v>
      </c>
      <c r="P38" s="115">
        <f>'[8]FY20 Initial Budget Allocat (2)'!P38/'FY20 Initial Budget Allocat FTE'!P$121</f>
        <v>0</v>
      </c>
      <c r="Q38" s="115">
        <f>'[8]FY20 Initial Budget Allocat (2)'!Q38/'FY20 Initial Budget Allocat FTE'!Q$121</f>
        <v>0</v>
      </c>
      <c r="R38" s="115">
        <f>'[8]FY20 Initial Budget Allocat (2)'!R38/'FY20 Initial Budget Allocat FTE'!R$121</f>
        <v>1</v>
      </c>
      <c r="S38" s="115">
        <f>'[8]FY20 Initial Budget Allocat (2)'!S38/'FY20 Initial Budget Allocat FTE'!S$121</f>
        <v>1</v>
      </c>
      <c r="T38" s="115">
        <f>'[8]FY20 Initial Budget Allocat (2)'!T38/'FY20 Initial Budget Allocat FTE'!T$121</f>
        <v>2</v>
      </c>
      <c r="U38" s="115">
        <f>'[8]FY20 Initial Budget Allocat (2)'!U38/'FY20 Initial Budget Allocat FTE'!U$121</f>
        <v>1</v>
      </c>
      <c r="V38" s="115">
        <f>'[8]FY20 Initial Budget Allocat (2)'!V38/'FY20 Initial Budget Allocat FTE'!V$121</f>
        <v>1</v>
      </c>
      <c r="W38" s="115">
        <f>'[8]FY20 Initial Budget Allocat (2)'!W38/'FY20 Initial Budget Allocat FTE'!W$121</f>
        <v>1</v>
      </c>
      <c r="X38" s="115">
        <f>'[8]FY20 Initial Budget Allocat (2)'!X38/'FY20 Initial Budget Allocat FTE'!X$121</f>
        <v>1</v>
      </c>
      <c r="Y38" s="115">
        <f>'[8]FY20 Initial Budget Allocat (2)'!Y38/'FY20 Initial Budget Allocat FTE'!Y$121</f>
        <v>0</v>
      </c>
      <c r="Z38" s="115">
        <f>'[8]FY20 Initial Budget Allocat (2)'!Z38/'FY20 Initial Budget Allocat FTE'!Z$121</f>
        <v>0.5</v>
      </c>
      <c r="AA38" s="115">
        <f>'[8]FY20 Initial Budget Allocat (2)'!AA38/'FY20 Initial Budget Allocat FTE'!AA$121</f>
        <v>2</v>
      </c>
      <c r="AB38" s="115">
        <f>'[8]FY20 Initial Budget Allocat (2)'!AB38/'FY20 Initial Budget Allocat FTE'!AB$121</f>
        <v>2</v>
      </c>
      <c r="AC38" s="115">
        <f>'[8]FY20 Initial Budget Allocat (2)'!AC38/'FY20 Initial Budget Allocat FTE'!AC$121</f>
        <v>0</v>
      </c>
      <c r="AD38" s="115">
        <f>'[8]FY20 Initial Budget Allocat (2)'!AD38/'FY20 Initial Budget Allocat FTE'!AD$121</f>
        <v>0</v>
      </c>
      <c r="AE38" s="115">
        <f>'[8]FY20 Initial Budget Allocat (2)'!AE38/'FY20 Initial Budget Allocat FTE'!AE$121</f>
        <v>3.0000000000000004</v>
      </c>
      <c r="AF38" s="115">
        <f>'[8]FY20 Initial Budget Allocat (2)'!AF38/'FY20 Initial Budget Allocat FTE'!AF$121</f>
        <v>3</v>
      </c>
      <c r="AG38" s="115">
        <f>'[8]FY20 Initial Budget Allocat (2)'!AG38/'FY20 Initial Budget Allocat FTE'!AG$121</f>
        <v>3.0000000000000004</v>
      </c>
      <c r="AH38" s="115">
        <f>'[8]FY20 Initial Budget Allocat (2)'!AH38/'FY20 Initial Budget Allocat FTE'!AH$121</f>
        <v>3</v>
      </c>
      <c r="AI38" s="115">
        <f>'[8]FY20 Initial Budget Allocat (2)'!AI38/'FY20 Initial Budget Allocat FTE'!AI$121</f>
        <v>3.0000000000000004</v>
      </c>
      <c r="AJ38" s="115">
        <f>'[8]FY20 Initial Budget Allocat (2)'!AJ38/'FY20 Initial Budget Allocat FTE'!AJ$121</f>
        <v>3.0000000000000004</v>
      </c>
      <c r="AK38" s="115">
        <f>'[8]FY20 Initial Budget Allocat (2)'!AK38/'FY20 Initial Budget Allocat FTE'!AK$121</f>
        <v>2</v>
      </c>
      <c r="AL38" s="115">
        <f>'[8]FY20 Initial Budget Allocat (2)'!AL38/'FY20 Initial Budget Allocat FTE'!AL$121</f>
        <v>2</v>
      </c>
      <c r="AM38" s="115">
        <f>'[8]FY20 Initial Budget Allocat (2)'!AM38/'FY20 Initial Budget Allocat FTE'!AM$121</f>
        <v>2</v>
      </c>
      <c r="AN38" s="115">
        <f>'[8]FY20 Initial Budget Allocat (2)'!AN38/'FY20 Initial Budget Allocat FTE'!AN$121</f>
        <v>0</v>
      </c>
      <c r="AO38" s="115">
        <f>'[8]FY20 Initial Budget Allocat (2)'!AO38/'FY20 Initial Budget Allocat FTE'!AO$121</f>
        <v>0</v>
      </c>
      <c r="AP38" s="115">
        <f>'[8]FY20 Initial Budget Allocat (2)'!AP38/'FY20 Initial Budget Allocat FTE'!AP$121</f>
        <v>0</v>
      </c>
      <c r="AQ38" s="115">
        <f>'[8]FY20 Initial Budget Allocat (2)'!AQ38/'FY20 Initial Budget Allocat FTE'!AQ$121</f>
        <v>0</v>
      </c>
      <c r="AR38" s="115">
        <f>'[8]FY20 Initial Budget Allocat (2)'!AR38/'FY20 Initial Budget Allocat FTE'!AR$121</f>
        <v>0</v>
      </c>
      <c r="AS38" s="115">
        <f>'[8]FY20 Initial Budget Allocat (2)'!AS38/'FY20 Initial Budget Allocat FTE'!AS$121</f>
        <v>0</v>
      </c>
      <c r="AT38" s="115">
        <f>'[8]FY20 Initial Budget Allocat (2)'!AT38/'FY20 Initial Budget Allocat FTE'!AT$121</f>
        <v>0</v>
      </c>
      <c r="AU38" s="115">
        <f>'[8]FY20 Initial Budget Allocat (2)'!AU38/'FY20 Initial Budget Allocat FTE'!AU$121</f>
        <v>0</v>
      </c>
      <c r="AV38" s="115">
        <f>'[8]FY20 Initial Budget Allocat (2)'!AV38/'FY20 Initial Budget Allocat FTE'!AV$121</f>
        <v>0</v>
      </c>
      <c r="AW38" s="115">
        <f>'[8]FY20 Initial Budget Allocat (2)'!AW38/'FY20 Initial Budget Allocat FTE'!AW$121</f>
        <v>0</v>
      </c>
      <c r="AX38" s="115">
        <f>'[8]FY20 Initial Budget Allocat (2)'!AX38/'FY20 Initial Budget Allocat FTE'!AX$121</f>
        <v>1</v>
      </c>
      <c r="AY38" s="115">
        <f>'[8]FY20 Initial Budget Allocat (2)'!AY38/'FY20 Initial Budget Allocat FTE'!AY$121</f>
        <v>1</v>
      </c>
      <c r="AZ38" s="115">
        <f>'[8]FY20 Initial Budget Allocat (2)'!AZ38/'FY20 Initial Budget Allocat FTE'!AZ$121</f>
        <v>5</v>
      </c>
      <c r="BA38" s="115">
        <f>'[8]FY20 Initial Budget Allocat (2)'!BA38/'FY20 Initial Budget Allocat FTE'!BA$121</f>
        <v>2</v>
      </c>
      <c r="BB38" s="115">
        <f>'[8]FY20 Initial Budget Allocat (2)'!BB38/'FY20 Initial Budget Allocat FTE'!BB$121</f>
        <v>0</v>
      </c>
      <c r="BC38" s="115">
        <f>'[8]FY20 Initial Budget Allocat (2)'!BC38/'FY20 Initial Budget Allocat FTE'!BC$121</f>
        <v>0</v>
      </c>
      <c r="BD38" s="115">
        <f>'[8]FY20 Initial Budget Allocat (2)'!BD38/'FY20 Initial Budget Allocat FTE'!BD$121</f>
        <v>8</v>
      </c>
      <c r="BE38" s="115">
        <f>'[8]FY20 Initial Budget Allocat (2)'!BE38/'FY20 Initial Budget Allocat FTE'!BE$121</f>
        <v>0</v>
      </c>
      <c r="BF38" s="115">
        <f>'[8]FY20 Initial Budget Allocat (2)'!BF38/'FY20 Initial Budget Allocat FTE'!BF$121</f>
        <v>1</v>
      </c>
      <c r="BG38" s="115">
        <f>'[8]FY20 Initial Budget Allocat (2)'!BG38/'FY20 Initial Budget Allocat FTE'!BG$121</f>
        <v>0</v>
      </c>
      <c r="BH38" s="115">
        <f>'[8]FY20 Initial Budget Allocat (2)'!BH38/'FY20 Initial Budget Allocat FTE'!BH$121</f>
        <v>0</v>
      </c>
      <c r="BI38" s="115">
        <f>'[8]FY20 Initial Budget Allocat (2)'!BI38/'FY20 Initial Budget Allocat FTE'!BI$121</f>
        <v>0</v>
      </c>
      <c r="BJ38" s="79"/>
      <c r="BK38" s="79">
        <v>0</v>
      </c>
      <c r="BL38" s="79"/>
      <c r="BM38" s="79">
        <v>191581.82</v>
      </c>
      <c r="BN38" s="79">
        <v>3048.56</v>
      </c>
      <c r="BO38" s="79">
        <v>0</v>
      </c>
      <c r="BP38" s="115">
        <f>'[8]FY20 Initial Budget Allocat (2)'!BP38/'FY20 Initial Budget Allocat FTE'!BP$121</f>
        <v>0</v>
      </c>
      <c r="BQ38" s="115">
        <f>'[8]FY20 Initial Budget Allocat (2)'!BQ38/'FY20 Initial Budget Allocat FTE'!BQ$121</f>
        <v>0</v>
      </c>
      <c r="BR38" s="115">
        <f>'[8]FY20 Initial Budget Allocat (2)'!BR38/'FY20 Initial Budget Allocat FTE'!BR$121</f>
        <v>0</v>
      </c>
      <c r="BS38" s="115">
        <f>'[8]FY20 Initial Budget Allocat (2)'!BS38/'FY20 Initial Budget Allocat FTE'!BS$121</f>
        <v>0</v>
      </c>
      <c r="BT38" s="115">
        <f>'[8]FY20 Initial Budget Allocat (2)'!BT38/'FY20 Initial Budget Allocat FTE'!BT$121</f>
        <v>0</v>
      </c>
      <c r="BU38" s="115">
        <f>'[8]FY20 Initial Budget Allocat (2)'!BU38/'FY20 Initial Budget Allocat FTE'!BU$121</f>
        <v>0</v>
      </c>
      <c r="BV38" s="115">
        <f>'[8]FY20 Initial Budget Allocat (2)'!BV38/'FY20 Initial Budget Allocat FTE'!BV$121</f>
        <v>0</v>
      </c>
      <c r="BW38" s="80">
        <v>0</v>
      </c>
      <c r="BX38" s="80">
        <v>0</v>
      </c>
      <c r="BY38" s="80">
        <v>0</v>
      </c>
      <c r="BZ38" s="80">
        <v>0</v>
      </c>
      <c r="CA38" s="115">
        <f>'[8]FY20 Initial Budget Allocat (2)'!CA38/'FY20 Initial Budget Allocat FTE'!CA$121</f>
        <v>0</v>
      </c>
      <c r="CB38" s="115">
        <f>'[8]FY20 Initial Budget Allocat (2)'!CB38/'FY20 Initial Budget Allocat FTE'!CB$121</f>
        <v>0</v>
      </c>
      <c r="CC38" s="80">
        <v>0</v>
      </c>
      <c r="CD38" s="115">
        <f>'[8]FY20 Initial Budget Allocat (2)'!CD38/'FY20 Initial Budget Allocat FTE'!CD$121</f>
        <v>0</v>
      </c>
      <c r="CE38" s="115">
        <f>'[8]FY20 Initial Budget Allocat (2)'!CE38/'FY20 Initial Budget Allocat FTE'!CE$121</f>
        <v>0</v>
      </c>
      <c r="CF38" s="115">
        <f>'[8]FY20 Initial Budget Allocat (2)'!CF38/'FY20 Initial Budget Allocat FTE'!CF$121</f>
        <v>0</v>
      </c>
      <c r="CG38" s="115">
        <f>'[8]FY20 Initial Budget Allocat (2)'!CG38/'FY20 Initial Budget Allocat FTE'!CG$121</f>
        <v>0</v>
      </c>
      <c r="CH38" s="115">
        <f>'[8]FY20 Initial Budget Allocat (2)'!CH38/'FY20 Initial Budget Allocat FTE'!CH$121</f>
        <v>0</v>
      </c>
      <c r="CI38" s="115">
        <f>'[8]FY20 Initial Budget Allocat (2)'!CI38/'FY20 Initial Budget Allocat FTE'!CI$121</f>
        <v>0</v>
      </c>
      <c r="CJ38" s="115">
        <f>'[8]FY20 Initial Budget Allocat (2)'!CJ38/'FY20 Initial Budget Allocat FTE'!CJ$121</f>
        <v>0</v>
      </c>
      <c r="CK38" s="79">
        <v>0</v>
      </c>
      <c r="CL38" s="79">
        <v>0</v>
      </c>
      <c r="CM38" s="79">
        <v>57070.8</v>
      </c>
      <c r="CN38" s="79">
        <v>0</v>
      </c>
      <c r="CO38" s="115">
        <f>'[8]FY20 Initial Budget Allocat (2)'!CO38/'FY20 Initial Budget Allocat FTE'!CO$121</f>
        <v>0</v>
      </c>
      <c r="CP38" s="79">
        <v>0</v>
      </c>
      <c r="CQ38" s="79">
        <v>4553.0593607305937</v>
      </c>
      <c r="CR38" s="79">
        <v>0</v>
      </c>
      <c r="CS38" s="79">
        <v>22695.620454545453</v>
      </c>
      <c r="CT38" s="115">
        <f>'[8]FY20 Initial Budget Allocat (2)'!CT38/'FY20 Initial Budget Allocat FTE'!CT$121</f>
        <v>0</v>
      </c>
      <c r="CU38" s="115">
        <f>'[8]FY20 Initial Budget Allocat (2)'!CU38/'FY20 Initial Budget Allocat FTE'!CU$121</f>
        <v>0</v>
      </c>
      <c r="CV38" s="79"/>
      <c r="CW38" s="79">
        <v>0</v>
      </c>
      <c r="CX38" s="115">
        <f>'[8]FY20 Initial Budget Allocat (2)'!CX38/'FY20 Initial Budget Allocat FTE'!CX$121</f>
        <v>1</v>
      </c>
      <c r="CY38" s="79">
        <v>0</v>
      </c>
      <c r="CZ38" s="79">
        <v>0</v>
      </c>
      <c r="DA38" s="79">
        <v>39500</v>
      </c>
      <c r="DB38" s="79">
        <v>89333.438234485351</v>
      </c>
      <c r="DC38" s="82">
        <v>0</v>
      </c>
      <c r="DD38" s="79">
        <v>0</v>
      </c>
      <c r="DE38" s="79"/>
      <c r="DF38" s="79">
        <v>13250</v>
      </c>
      <c r="DG38" s="79">
        <v>0</v>
      </c>
      <c r="DH38" s="83"/>
      <c r="DI38" s="79">
        <v>15379.483691027048</v>
      </c>
      <c r="DJ38" s="79">
        <v>6074896.0579556832</v>
      </c>
      <c r="DK38" s="84">
        <v>2.0443163812160492E-3</v>
      </c>
      <c r="DL38" s="84">
        <v>217358.75</v>
      </c>
      <c r="DM38" s="84">
        <f t="shared" si="0"/>
        <v>6292254.8099999996</v>
      </c>
      <c r="DN38" s="116">
        <f t="shared" si="1"/>
        <v>8</v>
      </c>
      <c r="DO38" s="116">
        <f t="shared" si="2"/>
        <v>8</v>
      </c>
      <c r="DP38" s="116">
        <f t="shared" si="3"/>
        <v>12</v>
      </c>
      <c r="DQ38" s="116">
        <f t="shared" si="4"/>
        <v>16</v>
      </c>
      <c r="DR38" s="116">
        <f t="shared" si="5"/>
        <v>2</v>
      </c>
    </row>
    <row r="39" spans="1:122" x14ac:dyDescent="0.25">
      <c r="A39" s="76">
        <v>246</v>
      </c>
      <c r="B39" s="76" t="s">
        <v>177</v>
      </c>
      <c r="C39" s="77" t="s">
        <v>152</v>
      </c>
      <c r="D39" s="41">
        <v>2</v>
      </c>
      <c r="E39" s="78">
        <v>482</v>
      </c>
      <c r="F39" s="78">
        <v>114.7047867711053</v>
      </c>
      <c r="G39" s="115">
        <f>'[8]FY20 Initial Budget Allocat (2)'!G39/'FY20 Initial Budget Allocat FTE'!G$121</f>
        <v>1</v>
      </c>
      <c r="H39" s="115">
        <f>'[8]FY20 Initial Budget Allocat (2)'!H39/'FY20 Initial Budget Allocat FTE'!H$121</f>
        <v>1</v>
      </c>
      <c r="I39" s="115">
        <f>'[8]FY20 Initial Budget Allocat (2)'!I39/'FY20 Initial Budget Allocat FTE'!I$121</f>
        <v>1.6</v>
      </c>
      <c r="J39" s="115">
        <f>'[8]FY20 Initial Budget Allocat (2)'!J39/'FY20 Initial Budget Allocat FTE'!J$121</f>
        <v>1.2</v>
      </c>
      <c r="K39" s="115">
        <f>'[8]FY20 Initial Budget Allocat (2)'!K39/'FY20 Initial Budget Allocat FTE'!K$121</f>
        <v>0</v>
      </c>
      <c r="L39" s="115">
        <f>'[8]FY20 Initial Budget Allocat (2)'!L39/'FY20 Initial Budget Allocat FTE'!L$121</f>
        <v>1</v>
      </c>
      <c r="M39" s="115">
        <f>'[8]FY20 Initial Budget Allocat (2)'!M39/'FY20 Initial Budget Allocat FTE'!M$121</f>
        <v>1</v>
      </c>
      <c r="N39" s="115">
        <f>'[8]FY20 Initial Budget Allocat (2)'!N39/'FY20 Initial Budget Allocat FTE'!N$121</f>
        <v>1.2</v>
      </c>
      <c r="O39" s="115">
        <f>'[8]FY20 Initial Budget Allocat (2)'!O39/'FY20 Initial Budget Allocat FTE'!O$121</f>
        <v>0</v>
      </c>
      <c r="P39" s="115">
        <f>'[8]FY20 Initial Budget Allocat (2)'!P39/'FY20 Initial Budget Allocat FTE'!P$121</f>
        <v>0</v>
      </c>
      <c r="Q39" s="115">
        <f>'[8]FY20 Initial Budget Allocat (2)'!Q39/'FY20 Initial Budget Allocat FTE'!Q$121</f>
        <v>0</v>
      </c>
      <c r="R39" s="115">
        <f>'[8]FY20 Initial Budget Allocat (2)'!R39/'FY20 Initial Budget Allocat FTE'!R$121</f>
        <v>1</v>
      </c>
      <c r="S39" s="115">
        <f>'[8]FY20 Initial Budget Allocat (2)'!S39/'FY20 Initial Budget Allocat FTE'!S$121</f>
        <v>1</v>
      </c>
      <c r="T39" s="115">
        <f>'[8]FY20 Initial Budget Allocat (2)'!T39/'FY20 Initial Budget Allocat FTE'!T$121</f>
        <v>2</v>
      </c>
      <c r="U39" s="115">
        <f>'[8]FY20 Initial Budget Allocat (2)'!U39/'FY20 Initial Budget Allocat FTE'!U$121</f>
        <v>1</v>
      </c>
      <c r="V39" s="115">
        <f>'[8]FY20 Initial Budget Allocat (2)'!V39/'FY20 Initial Budget Allocat FTE'!V$121</f>
        <v>0</v>
      </c>
      <c r="W39" s="115">
        <f>'[8]FY20 Initial Budget Allocat (2)'!W39/'FY20 Initial Budget Allocat FTE'!W$121</f>
        <v>0</v>
      </c>
      <c r="X39" s="115">
        <f>'[8]FY20 Initial Budget Allocat (2)'!X39/'FY20 Initial Budget Allocat FTE'!X$121</f>
        <v>0</v>
      </c>
      <c r="Y39" s="115">
        <f>'[8]FY20 Initial Budget Allocat (2)'!Y39/'FY20 Initial Budget Allocat FTE'!Y$121</f>
        <v>0</v>
      </c>
      <c r="Z39" s="115">
        <f>'[8]FY20 Initial Budget Allocat (2)'!Z39/'FY20 Initial Budget Allocat FTE'!Z$121</f>
        <v>0</v>
      </c>
      <c r="AA39" s="115">
        <f>'[8]FY20 Initial Budget Allocat (2)'!AA39/'FY20 Initial Budget Allocat FTE'!AA$121</f>
        <v>0</v>
      </c>
      <c r="AB39" s="115">
        <f>'[8]FY20 Initial Budget Allocat (2)'!AB39/'FY20 Initial Budget Allocat FTE'!AB$121</f>
        <v>0</v>
      </c>
      <c r="AC39" s="115">
        <f>'[8]FY20 Initial Budget Allocat (2)'!AC39/'FY20 Initial Budget Allocat FTE'!AC$121</f>
        <v>0</v>
      </c>
      <c r="AD39" s="115">
        <f>'[8]FY20 Initial Budget Allocat (2)'!AD39/'FY20 Initial Budget Allocat FTE'!AD$121</f>
        <v>0</v>
      </c>
      <c r="AE39" s="115">
        <f>'[8]FY20 Initial Budget Allocat (2)'!AE39/'FY20 Initial Budget Allocat FTE'!AE$121</f>
        <v>0</v>
      </c>
      <c r="AF39" s="115">
        <f>'[8]FY20 Initial Budget Allocat (2)'!AF39/'FY20 Initial Budget Allocat FTE'!AF$121</f>
        <v>0</v>
      </c>
      <c r="AG39" s="115">
        <f>'[8]FY20 Initial Budget Allocat (2)'!AG39/'FY20 Initial Budget Allocat FTE'!AG$121</f>
        <v>0</v>
      </c>
      <c r="AH39" s="115">
        <f>'[8]FY20 Initial Budget Allocat (2)'!AH39/'FY20 Initial Budget Allocat FTE'!AH$121</f>
        <v>0</v>
      </c>
      <c r="AI39" s="115">
        <f>'[8]FY20 Initial Budget Allocat (2)'!AI39/'FY20 Initial Budget Allocat FTE'!AI$121</f>
        <v>0</v>
      </c>
      <c r="AJ39" s="115">
        <f>'[8]FY20 Initial Budget Allocat (2)'!AJ39/'FY20 Initial Budget Allocat FTE'!AJ$121</f>
        <v>0</v>
      </c>
      <c r="AK39" s="115">
        <f>'[8]FY20 Initial Budget Allocat (2)'!AK39/'FY20 Initial Budget Allocat FTE'!AK$121</f>
        <v>0</v>
      </c>
      <c r="AL39" s="115">
        <f>'[8]FY20 Initial Budget Allocat (2)'!AL39/'FY20 Initial Budget Allocat FTE'!AL$121</f>
        <v>0</v>
      </c>
      <c r="AM39" s="115">
        <f>'[8]FY20 Initial Budget Allocat (2)'!AM39/'FY20 Initial Budget Allocat FTE'!AM$121</f>
        <v>0</v>
      </c>
      <c r="AN39" s="115">
        <f>'[8]FY20 Initial Budget Allocat (2)'!AN39/'FY20 Initial Budget Allocat FTE'!AN$121</f>
        <v>8</v>
      </c>
      <c r="AO39" s="115">
        <f>'[8]FY20 Initial Budget Allocat (2)'!AO39/'FY20 Initial Budget Allocat FTE'!AO$121</f>
        <v>7.4</v>
      </c>
      <c r="AP39" s="115">
        <f>'[8]FY20 Initial Budget Allocat (2)'!AP39/'FY20 Initial Budget Allocat FTE'!AP$121</f>
        <v>6.5</v>
      </c>
      <c r="AQ39" s="115">
        <f>'[8]FY20 Initial Budget Allocat (2)'!AQ39/'FY20 Initial Budget Allocat FTE'!AQ$121</f>
        <v>0</v>
      </c>
      <c r="AR39" s="115">
        <f>'[8]FY20 Initial Budget Allocat (2)'!AR39/'FY20 Initial Budget Allocat FTE'!AR$121</f>
        <v>0</v>
      </c>
      <c r="AS39" s="115">
        <f>'[8]FY20 Initial Budget Allocat (2)'!AS39/'FY20 Initial Budget Allocat FTE'!AS$121</f>
        <v>0</v>
      </c>
      <c r="AT39" s="115">
        <f>'[8]FY20 Initial Budget Allocat (2)'!AT39/'FY20 Initial Budget Allocat FTE'!AT$121</f>
        <v>0</v>
      </c>
      <c r="AU39" s="115">
        <f>'[8]FY20 Initial Budget Allocat (2)'!AU39/'FY20 Initial Budget Allocat FTE'!AU$121</f>
        <v>0</v>
      </c>
      <c r="AV39" s="115">
        <f>'[8]FY20 Initial Budget Allocat (2)'!AV39/'FY20 Initial Budget Allocat FTE'!AV$121</f>
        <v>0</v>
      </c>
      <c r="AW39" s="115">
        <f>'[8]FY20 Initial Budget Allocat (2)'!AW39/'FY20 Initial Budget Allocat FTE'!AW$121</f>
        <v>0</v>
      </c>
      <c r="AX39" s="115">
        <f>'[8]FY20 Initial Budget Allocat (2)'!AX39/'FY20 Initial Budget Allocat FTE'!AX$121</f>
        <v>1</v>
      </c>
      <c r="AY39" s="115">
        <f>'[8]FY20 Initial Budget Allocat (2)'!AY39/'FY20 Initial Budget Allocat FTE'!AY$121</f>
        <v>2</v>
      </c>
      <c r="AZ39" s="115">
        <f>'[8]FY20 Initial Budget Allocat (2)'!AZ39/'FY20 Initial Budget Allocat FTE'!AZ$121</f>
        <v>8</v>
      </c>
      <c r="BA39" s="115">
        <f>'[8]FY20 Initial Budget Allocat (2)'!BA39/'FY20 Initial Budget Allocat FTE'!BA$121</f>
        <v>4</v>
      </c>
      <c r="BB39" s="115">
        <f>'[8]FY20 Initial Budget Allocat (2)'!BB39/'FY20 Initial Budget Allocat FTE'!BB$121</f>
        <v>0</v>
      </c>
      <c r="BC39" s="115">
        <f>'[8]FY20 Initial Budget Allocat (2)'!BC39/'FY20 Initial Budget Allocat FTE'!BC$121</f>
        <v>0</v>
      </c>
      <c r="BD39" s="115">
        <f>'[8]FY20 Initial Budget Allocat (2)'!BD39/'FY20 Initial Budget Allocat FTE'!BD$121</f>
        <v>1</v>
      </c>
      <c r="BE39" s="115">
        <f>'[8]FY20 Initial Budget Allocat (2)'!BE39/'FY20 Initial Budget Allocat FTE'!BE$121</f>
        <v>0</v>
      </c>
      <c r="BF39" s="115">
        <f>'[8]FY20 Initial Budget Allocat (2)'!BF39/'FY20 Initial Budget Allocat FTE'!BF$121</f>
        <v>0</v>
      </c>
      <c r="BG39" s="115">
        <f>'[8]FY20 Initial Budget Allocat (2)'!BG39/'FY20 Initial Budget Allocat FTE'!BG$121</f>
        <v>0</v>
      </c>
      <c r="BH39" s="115">
        <f>'[8]FY20 Initial Budget Allocat (2)'!BH39/'FY20 Initial Budget Allocat FTE'!BH$121</f>
        <v>0</v>
      </c>
      <c r="BI39" s="115">
        <f>'[8]FY20 Initial Budget Allocat (2)'!BI39/'FY20 Initial Budget Allocat FTE'!BI$121</f>
        <v>0</v>
      </c>
      <c r="BJ39" s="79"/>
      <c r="BK39" s="79">
        <v>0</v>
      </c>
      <c r="BL39" s="79"/>
      <c r="BM39" s="79">
        <v>75928.03</v>
      </c>
      <c r="BN39" s="79">
        <v>1208.21</v>
      </c>
      <c r="BO39" s="79">
        <v>9800</v>
      </c>
      <c r="BP39" s="115">
        <f>'[8]FY20 Initial Budget Allocat (2)'!BP39/'FY20 Initial Budget Allocat FTE'!BP$121</f>
        <v>0</v>
      </c>
      <c r="BQ39" s="115">
        <f>'[8]FY20 Initial Budget Allocat (2)'!BQ39/'FY20 Initial Budget Allocat FTE'!BQ$121</f>
        <v>2</v>
      </c>
      <c r="BR39" s="115">
        <f>'[8]FY20 Initial Budget Allocat (2)'!BR39/'FY20 Initial Budget Allocat FTE'!BR$121</f>
        <v>0</v>
      </c>
      <c r="BS39" s="115">
        <f>'[8]FY20 Initial Budget Allocat (2)'!BS39/'FY20 Initial Budget Allocat FTE'!BS$121</f>
        <v>0</v>
      </c>
      <c r="BT39" s="115">
        <f>'[8]FY20 Initial Budget Allocat (2)'!BT39/'FY20 Initial Budget Allocat FTE'!BT$121</f>
        <v>0</v>
      </c>
      <c r="BU39" s="115">
        <f>'[8]FY20 Initial Budget Allocat (2)'!BU39/'FY20 Initial Budget Allocat FTE'!BU$121</f>
        <v>0</v>
      </c>
      <c r="BV39" s="115">
        <f>'[8]FY20 Initial Budget Allocat (2)'!BV39/'FY20 Initial Budget Allocat FTE'!BV$121</f>
        <v>0</v>
      </c>
      <c r="BW39" s="80">
        <v>0</v>
      </c>
      <c r="BX39" s="80">
        <v>0</v>
      </c>
      <c r="BY39" s="80">
        <v>0</v>
      </c>
      <c r="BZ39" s="80">
        <v>0</v>
      </c>
      <c r="CA39" s="115">
        <f>'[8]FY20 Initial Budget Allocat (2)'!CA39/'FY20 Initial Budget Allocat FTE'!CA$121</f>
        <v>0</v>
      </c>
      <c r="CB39" s="115">
        <f>'[8]FY20 Initial Budget Allocat (2)'!CB39/'FY20 Initial Budget Allocat FTE'!CB$121</f>
        <v>0</v>
      </c>
      <c r="CC39" s="80">
        <v>0</v>
      </c>
      <c r="CD39" s="115">
        <f>'[8]FY20 Initial Budget Allocat (2)'!CD39/'FY20 Initial Budget Allocat FTE'!CD$121</f>
        <v>0</v>
      </c>
      <c r="CE39" s="115">
        <f>'[8]FY20 Initial Budget Allocat (2)'!CE39/'FY20 Initial Budget Allocat FTE'!CE$121</f>
        <v>0</v>
      </c>
      <c r="CF39" s="115">
        <f>'[8]FY20 Initial Budget Allocat (2)'!CF39/'FY20 Initial Budget Allocat FTE'!CF$121</f>
        <v>0</v>
      </c>
      <c r="CG39" s="115">
        <f>'[8]FY20 Initial Budget Allocat (2)'!CG39/'FY20 Initial Budget Allocat FTE'!CG$121</f>
        <v>0</v>
      </c>
      <c r="CH39" s="115">
        <f>'[8]FY20 Initial Budget Allocat (2)'!CH39/'FY20 Initial Budget Allocat FTE'!CH$121</f>
        <v>0</v>
      </c>
      <c r="CI39" s="115">
        <f>'[8]FY20 Initial Budget Allocat (2)'!CI39/'FY20 Initial Budget Allocat FTE'!CI$121</f>
        <v>3.0000000000000004</v>
      </c>
      <c r="CJ39" s="115">
        <f>'[8]FY20 Initial Budget Allocat (2)'!CJ39/'FY20 Initial Budget Allocat FTE'!CJ$121</f>
        <v>0</v>
      </c>
      <c r="CK39" s="79">
        <v>23000</v>
      </c>
      <c r="CL39" s="79">
        <v>5000</v>
      </c>
      <c r="CM39" s="79">
        <v>227444.6</v>
      </c>
      <c r="CN39" s="79">
        <v>100000</v>
      </c>
      <c r="CO39" s="115">
        <f>'[8]FY20 Initial Budget Allocat (2)'!CO39/'FY20 Initial Budget Allocat FTE'!CO$121</f>
        <v>0</v>
      </c>
      <c r="CP39" s="79">
        <v>0</v>
      </c>
      <c r="CQ39" s="79">
        <v>0</v>
      </c>
      <c r="CR39" s="79">
        <v>77760</v>
      </c>
      <c r="CS39" s="79">
        <v>36235.255670103092</v>
      </c>
      <c r="CT39" s="115">
        <f>'[8]FY20 Initial Budget Allocat (2)'!CT39/'FY20 Initial Budget Allocat FTE'!CT$121</f>
        <v>0</v>
      </c>
      <c r="CU39" s="115">
        <f>'[8]FY20 Initial Budget Allocat (2)'!CU39/'FY20 Initial Budget Allocat FTE'!CU$121</f>
        <v>0</v>
      </c>
      <c r="CV39" s="79"/>
      <c r="CW39" s="79">
        <v>0</v>
      </c>
      <c r="CX39" s="115">
        <f>'[8]FY20 Initial Budget Allocat (2)'!CX39/'FY20 Initial Budget Allocat FTE'!CX$121</f>
        <v>0</v>
      </c>
      <c r="CY39" s="79">
        <v>0</v>
      </c>
      <c r="CZ39" s="79">
        <v>0</v>
      </c>
      <c r="DA39" s="79">
        <v>48200</v>
      </c>
      <c r="DB39" s="79">
        <v>92144.696766243942</v>
      </c>
      <c r="DC39" s="82">
        <v>0</v>
      </c>
      <c r="DD39" s="79">
        <v>0</v>
      </c>
      <c r="DE39" s="79"/>
      <c r="DF39" s="79">
        <v>15600</v>
      </c>
      <c r="DG39" s="79">
        <v>0</v>
      </c>
      <c r="DH39" s="83">
        <v>0</v>
      </c>
      <c r="DI39" s="79">
        <v>12983.057849600415</v>
      </c>
      <c r="DJ39" s="79">
        <v>6257833.8835073989</v>
      </c>
      <c r="DK39" s="84">
        <v>54557.116492601112</v>
      </c>
      <c r="DL39" s="84">
        <v>0</v>
      </c>
      <c r="DM39" s="84">
        <f t="shared" si="0"/>
        <v>6312391</v>
      </c>
      <c r="DN39" s="116">
        <f t="shared" si="1"/>
        <v>0</v>
      </c>
      <c r="DO39" s="116">
        <f t="shared" si="2"/>
        <v>0</v>
      </c>
      <c r="DP39" s="116">
        <f t="shared" si="3"/>
        <v>21.9</v>
      </c>
      <c r="DQ39" s="116">
        <f t="shared" si="4"/>
        <v>12</v>
      </c>
      <c r="DR39" s="116">
        <f t="shared" si="5"/>
        <v>4</v>
      </c>
    </row>
    <row r="40" spans="1:122" x14ac:dyDescent="0.25">
      <c r="A40" s="76">
        <v>413</v>
      </c>
      <c r="B40" s="76" t="s">
        <v>178</v>
      </c>
      <c r="C40" s="77" t="s">
        <v>152</v>
      </c>
      <c r="D40" s="41">
        <v>8</v>
      </c>
      <c r="E40" s="78">
        <v>353</v>
      </c>
      <c r="F40" s="78">
        <v>315.5331325301205</v>
      </c>
      <c r="G40" s="115">
        <f>'[8]FY20 Initial Budget Allocat (2)'!G40/'FY20 Initial Budget Allocat FTE'!G$121</f>
        <v>1</v>
      </c>
      <c r="H40" s="115">
        <f>'[8]FY20 Initial Budget Allocat (2)'!H40/'FY20 Initial Budget Allocat FTE'!H$121</f>
        <v>1</v>
      </c>
      <c r="I40" s="115">
        <f>'[8]FY20 Initial Budget Allocat (2)'!I40/'FY20 Initial Budget Allocat FTE'!I$121</f>
        <v>1.2</v>
      </c>
      <c r="J40" s="115">
        <f>'[8]FY20 Initial Budget Allocat (2)'!J40/'FY20 Initial Budget Allocat FTE'!J$121</f>
        <v>1</v>
      </c>
      <c r="K40" s="115">
        <f>'[8]FY20 Initial Budget Allocat (2)'!K40/'FY20 Initial Budget Allocat FTE'!K$121</f>
        <v>0</v>
      </c>
      <c r="L40" s="115">
        <f>'[8]FY20 Initial Budget Allocat (2)'!L40/'FY20 Initial Budget Allocat FTE'!L$121</f>
        <v>1</v>
      </c>
      <c r="M40" s="115">
        <f>'[8]FY20 Initial Budget Allocat (2)'!M40/'FY20 Initial Budget Allocat FTE'!M$121</f>
        <v>1</v>
      </c>
      <c r="N40" s="115">
        <f>'[8]FY20 Initial Budget Allocat (2)'!N40/'FY20 Initial Budget Allocat FTE'!N$121</f>
        <v>0</v>
      </c>
      <c r="O40" s="115">
        <f>'[8]FY20 Initial Budget Allocat (2)'!O40/'FY20 Initial Budget Allocat FTE'!O$121</f>
        <v>0</v>
      </c>
      <c r="P40" s="115">
        <f>'[8]FY20 Initial Budget Allocat (2)'!P40/'FY20 Initial Budget Allocat FTE'!P$121</f>
        <v>0</v>
      </c>
      <c r="Q40" s="115">
        <f>'[8]FY20 Initial Budget Allocat (2)'!Q40/'FY20 Initial Budget Allocat FTE'!Q$121</f>
        <v>1</v>
      </c>
      <c r="R40" s="115">
        <f>'[8]FY20 Initial Budget Allocat (2)'!R40/'FY20 Initial Budget Allocat FTE'!R$121</f>
        <v>1</v>
      </c>
      <c r="S40" s="115">
        <f>'[8]FY20 Initial Budget Allocat (2)'!S40/'FY20 Initial Budget Allocat FTE'!S$121</f>
        <v>1</v>
      </c>
      <c r="T40" s="115">
        <f>'[8]FY20 Initial Budget Allocat (2)'!T40/'FY20 Initial Budget Allocat FTE'!T$121</f>
        <v>5</v>
      </c>
      <c r="U40" s="115">
        <f>'[8]FY20 Initial Budget Allocat (2)'!U40/'FY20 Initial Budget Allocat FTE'!U$121</f>
        <v>1</v>
      </c>
      <c r="V40" s="115">
        <f>'[8]FY20 Initial Budget Allocat (2)'!V40/'FY20 Initial Budget Allocat FTE'!V$121</f>
        <v>0</v>
      </c>
      <c r="W40" s="115">
        <f>'[8]FY20 Initial Budget Allocat (2)'!W40/'FY20 Initial Budget Allocat FTE'!W$121</f>
        <v>0</v>
      </c>
      <c r="X40" s="115">
        <f>'[8]FY20 Initial Budget Allocat (2)'!X40/'FY20 Initial Budget Allocat FTE'!X$121</f>
        <v>0</v>
      </c>
      <c r="Y40" s="115">
        <f>'[8]FY20 Initial Budget Allocat (2)'!Y40/'FY20 Initial Budget Allocat FTE'!Y$121</f>
        <v>0</v>
      </c>
      <c r="Z40" s="115">
        <f>'[8]FY20 Initial Budget Allocat (2)'!Z40/'FY20 Initial Budget Allocat FTE'!Z$121</f>
        <v>0</v>
      </c>
      <c r="AA40" s="115">
        <f>'[8]FY20 Initial Budget Allocat (2)'!AA40/'FY20 Initial Budget Allocat FTE'!AA$121</f>
        <v>0</v>
      </c>
      <c r="AB40" s="115">
        <f>'[8]FY20 Initial Budget Allocat (2)'!AB40/'FY20 Initial Budget Allocat FTE'!AB$121</f>
        <v>0</v>
      </c>
      <c r="AC40" s="115">
        <f>'[8]FY20 Initial Budget Allocat (2)'!AC40/'FY20 Initial Budget Allocat FTE'!AC$121</f>
        <v>0</v>
      </c>
      <c r="AD40" s="115">
        <f>'[8]FY20 Initial Budget Allocat (2)'!AD40/'FY20 Initial Budget Allocat FTE'!AD$121</f>
        <v>0</v>
      </c>
      <c r="AE40" s="115">
        <f>'[8]FY20 Initial Budget Allocat (2)'!AE40/'FY20 Initial Budget Allocat FTE'!AE$121</f>
        <v>0</v>
      </c>
      <c r="AF40" s="115">
        <f>'[8]FY20 Initial Budget Allocat (2)'!AF40/'FY20 Initial Budget Allocat FTE'!AF$121</f>
        <v>0</v>
      </c>
      <c r="AG40" s="115">
        <f>'[8]FY20 Initial Budget Allocat (2)'!AG40/'FY20 Initial Budget Allocat FTE'!AG$121</f>
        <v>0</v>
      </c>
      <c r="AH40" s="115">
        <f>'[8]FY20 Initial Budget Allocat (2)'!AH40/'FY20 Initial Budget Allocat FTE'!AH$121</f>
        <v>0</v>
      </c>
      <c r="AI40" s="115">
        <f>'[8]FY20 Initial Budget Allocat (2)'!AI40/'FY20 Initial Budget Allocat FTE'!AI$121</f>
        <v>0</v>
      </c>
      <c r="AJ40" s="115">
        <f>'[8]FY20 Initial Budget Allocat (2)'!AJ40/'FY20 Initial Budget Allocat FTE'!AJ$121</f>
        <v>0</v>
      </c>
      <c r="AK40" s="115">
        <f>'[8]FY20 Initial Budget Allocat (2)'!AK40/'FY20 Initial Budget Allocat FTE'!AK$121</f>
        <v>0</v>
      </c>
      <c r="AL40" s="115">
        <f>'[8]FY20 Initial Budget Allocat (2)'!AL40/'FY20 Initial Budget Allocat FTE'!AL$121</f>
        <v>0</v>
      </c>
      <c r="AM40" s="115">
        <f>'[8]FY20 Initial Budget Allocat (2)'!AM40/'FY20 Initial Budget Allocat FTE'!AM$121</f>
        <v>0</v>
      </c>
      <c r="AN40" s="115">
        <f>'[8]FY20 Initial Budget Allocat (2)'!AN40/'FY20 Initial Budget Allocat FTE'!AN$121</f>
        <v>5</v>
      </c>
      <c r="AO40" s="115">
        <f>'[8]FY20 Initial Budget Allocat (2)'!AO40/'FY20 Initial Budget Allocat FTE'!AO$121</f>
        <v>5.9</v>
      </c>
      <c r="AP40" s="115">
        <f>'[8]FY20 Initial Budget Allocat (2)'!AP40/'FY20 Initial Budget Allocat FTE'!AP$121</f>
        <v>5.2</v>
      </c>
      <c r="AQ40" s="115">
        <f>'[8]FY20 Initial Budget Allocat (2)'!AQ40/'FY20 Initial Budget Allocat FTE'!AQ$121</f>
        <v>0</v>
      </c>
      <c r="AR40" s="115">
        <f>'[8]FY20 Initial Budget Allocat (2)'!AR40/'FY20 Initial Budget Allocat FTE'!AR$121</f>
        <v>0</v>
      </c>
      <c r="AS40" s="115">
        <f>'[8]FY20 Initial Budget Allocat (2)'!AS40/'FY20 Initial Budget Allocat FTE'!AS$121</f>
        <v>0</v>
      </c>
      <c r="AT40" s="115">
        <f>'[8]FY20 Initial Budget Allocat (2)'!AT40/'FY20 Initial Budget Allocat FTE'!AT$121</f>
        <v>0</v>
      </c>
      <c r="AU40" s="115">
        <f>'[8]FY20 Initial Budget Allocat (2)'!AU40/'FY20 Initial Budget Allocat FTE'!AU$121</f>
        <v>0</v>
      </c>
      <c r="AV40" s="115">
        <f>'[8]FY20 Initial Budget Allocat (2)'!AV40/'FY20 Initial Budget Allocat FTE'!AV$121</f>
        <v>0</v>
      </c>
      <c r="AW40" s="115">
        <f>'[8]FY20 Initial Budget Allocat (2)'!AW40/'FY20 Initial Budget Allocat FTE'!AW$121</f>
        <v>0</v>
      </c>
      <c r="AX40" s="115">
        <f>'[8]FY20 Initial Budget Allocat (2)'!AX40/'FY20 Initial Budget Allocat FTE'!AX$121</f>
        <v>1</v>
      </c>
      <c r="AY40" s="115">
        <f>'[8]FY20 Initial Budget Allocat (2)'!AY40/'FY20 Initial Budget Allocat FTE'!AY$121</f>
        <v>4</v>
      </c>
      <c r="AZ40" s="115">
        <f>'[8]FY20 Initial Budget Allocat (2)'!AZ40/'FY20 Initial Budget Allocat FTE'!AZ$121</f>
        <v>10</v>
      </c>
      <c r="BA40" s="115">
        <f>'[8]FY20 Initial Budget Allocat (2)'!BA40/'FY20 Initial Budget Allocat FTE'!BA$121</f>
        <v>6</v>
      </c>
      <c r="BB40" s="115">
        <f>'[8]FY20 Initial Budget Allocat (2)'!BB40/'FY20 Initial Budget Allocat FTE'!BB$121</f>
        <v>2</v>
      </c>
      <c r="BC40" s="115">
        <f>'[8]FY20 Initial Budget Allocat (2)'!BC40/'FY20 Initial Budget Allocat FTE'!BC$121</f>
        <v>0</v>
      </c>
      <c r="BD40" s="115">
        <f>'[8]FY20 Initial Budget Allocat (2)'!BD40/'FY20 Initial Budget Allocat FTE'!BD$121</f>
        <v>0.18181818181818182</v>
      </c>
      <c r="BE40" s="115">
        <f>'[8]FY20 Initial Budget Allocat (2)'!BE40/'FY20 Initial Budget Allocat FTE'!BE$121</f>
        <v>0</v>
      </c>
      <c r="BF40" s="115">
        <f>'[8]FY20 Initial Budget Allocat (2)'!BF40/'FY20 Initial Budget Allocat FTE'!BF$121</f>
        <v>0</v>
      </c>
      <c r="BG40" s="115">
        <f>'[8]FY20 Initial Budget Allocat (2)'!BG40/'FY20 Initial Budget Allocat FTE'!BG$121</f>
        <v>0.9377046441697291</v>
      </c>
      <c r="BH40" s="115">
        <f>'[8]FY20 Initial Budget Allocat (2)'!BH40/'FY20 Initial Budget Allocat FTE'!BH$121</f>
        <v>4</v>
      </c>
      <c r="BI40" s="115">
        <f>'[8]FY20 Initial Budget Allocat (2)'!BI40/'FY20 Initial Budget Allocat FTE'!BI$121</f>
        <v>1</v>
      </c>
      <c r="BJ40" s="79"/>
      <c r="BK40" s="79">
        <v>0</v>
      </c>
      <c r="BL40" s="79">
        <v>18330.900000000001</v>
      </c>
      <c r="BM40" s="79">
        <v>160206.14000000001</v>
      </c>
      <c r="BN40" s="79">
        <v>2549.29</v>
      </c>
      <c r="BO40" s="79">
        <v>0</v>
      </c>
      <c r="BP40" s="115">
        <f>'[8]FY20 Initial Budget Allocat (2)'!BP40/'FY20 Initial Budget Allocat FTE'!BP$121</f>
        <v>0</v>
      </c>
      <c r="BQ40" s="115">
        <f>'[8]FY20 Initial Budget Allocat (2)'!BQ40/'FY20 Initial Budget Allocat FTE'!BQ$121</f>
        <v>0</v>
      </c>
      <c r="BR40" s="115">
        <f>'[8]FY20 Initial Budget Allocat (2)'!BR40/'FY20 Initial Budget Allocat FTE'!BR$121</f>
        <v>1</v>
      </c>
      <c r="BS40" s="115">
        <f>'[8]FY20 Initial Budget Allocat (2)'!BS40/'FY20 Initial Budget Allocat FTE'!BS$121</f>
        <v>0</v>
      </c>
      <c r="BT40" s="115">
        <f>'[8]FY20 Initial Budget Allocat (2)'!BT40/'FY20 Initial Budget Allocat FTE'!BT$121</f>
        <v>0</v>
      </c>
      <c r="BU40" s="115">
        <f>'[8]FY20 Initial Budget Allocat (2)'!BU40/'FY20 Initial Budget Allocat FTE'!BU$121</f>
        <v>0</v>
      </c>
      <c r="BV40" s="115">
        <f>'[8]FY20 Initial Budget Allocat (2)'!BV40/'FY20 Initial Budget Allocat FTE'!BV$121</f>
        <v>0</v>
      </c>
      <c r="BW40" s="80">
        <v>0</v>
      </c>
      <c r="BX40" s="80">
        <v>0</v>
      </c>
      <c r="BY40" s="80">
        <v>0</v>
      </c>
      <c r="BZ40" s="80">
        <v>0</v>
      </c>
      <c r="CA40" s="115">
        <f>'[8]FY20 Initial Budget Allocat (2)'!CA40/'FY20 Initial Budget Allocat FTE'!CA$121</f>
        <v>0</v>
      </c>
      <c r="CB40" s="115">
        <f>'[8]FY20 Initial Budget Allocat (2)'!CB40/'FY20 Initial Budget Allocat FTE'!CB$121</f>
        <v>0</v>
      </c>
      <c r="CC40" s="80">
        <v>0</v>
      </c>
      <c r="CD40" s="115">
        <f>'[8]FY20 Initial Budget Allocat (2)'!CD40/'FY20 Initial Budget Allocat FTE'!CD$121</f>
        <v>0</v>
      </c>
      <c r="CE40" s="115">
        <f>'[8]FY20 Initial Budget Allocat (2)'!CE40/'FY20 Initial Budget Allocat FTE'!CE$121</f>
        <v>0</v>
      </c>
      <c r="CF40" s="115">
        <f>'[8]FY20 Initial Budget Allocat (2)'!CF40/'FY20 Initial Budget Allocat FTE'!CF$121</f>
        <v>0</v>
      </c>
      <c r="CG40" s="115">
        <f>'[8]FY20 Initial Budget Allocat (2)'!CG40/'FY20 Initial Budget Allocat FTE'!CG$121</f>
        <v>0</v>
      </c>
      <c r="CH40" s="115">
        <f>'[8]FY20 Initial Budget Allocat (2)'!CH40/'FY20 Initial Budget Allocat FTE'!CH$121</f>
        <v>0</v>
      </c>
      <c r="CI40" s="115">
        <f>'[8]FY20 Initial Budget Allocat (2)'!CI40/'FY20 Initial Budget Allocat FTE'!CI$121</f>
        <v>3.0000000000000004</v>
      </c>
      <c r="CJ40" s="115">
        <f>'[8]FY20 Initial Budget Allocat (2)'!CJ40/'FY20 Initial Budget Allocat FTE'!CJ$121</f>
        <v>0</v>
      </c>
      <c r="CK40" s="79">
        <v>23000</v>
      </c>
      <c r="CL40" s="79">
        <v>5000</v>
      </c>
      <c r="CM40" s="79">
        <v>388291.54000000004</v>
      </c>
      <c r="CN40" s="79">
        <v>100000</v>
      </c>
      <c r="CO40" s="115">
        <f>'[8]FY20 Initial Budget Allocat (2)'!CO40/'FY20 Initial Budget Allocat FTE'!CO$121</f>
        <v>0</v>
      </c>
      <c r="CP40" s="79">
        <v>0</v>
      </c>
      <c r="CQ40" s="79">
        <v>12621.325301204819</v>
      </c>
      <c r="CR40" s="79">
        <v>0</v>
      </c>
      <c r="CS40" s="79">
        <v>27960.791885964914</v>
      </c>
      <c r="CT40" s="115">
        <f>'[8]FY20 Initial Budget Allocat (2)'!CT40/'FY20 Initial Budget Allocat FTE'!CT$121</f>
        <v>0</v>
      </c>
      <c r="CU40" s="115">
        <f>'[8]FY20 Initial Budget Allocat (2)'!CU40/'FY20 Initial Budget Allocat FTE'!CU$121</f>
        <v>0</v>
      </c>
      <c r="CV40" s="79"/>
      <c r="CW40" s="79">
        <v>0</v>
      </c>
      <c r="CX40" s="115">
        <f>'[8]FY20 Initial Budget Allocat (2)'!CX40/'FY20 Initial Budget Allocat FTE'!CX$121</f>
        <v>0</v>
      </c>
      <c r="CY40" s="79">
        <v>0</v>
      </c>
      <c r="CZ40" s="79">
        <v>0</v>
      </c>
      <c r="DA40" s="79">
        <v>35300</v>
      </c>
      <c r="DB40" s="79">
        <v>88949.882338815994</v>
      </c>
      <c r="DC40" s="82">
        <v>0</v>
      </c>
      <c r="DD40" s="79">
        <v>0</v>
      </c>
      <c r="DE40" s="79"/>
      <c r="DF40" s="79">
        <v>84000</v>
      </c>
      <c r="DG40" s="79">
        <v>0</v>
      </c>
      <c r="DH40" s="83"/>
      <c r="DI40" s="79">
        <v>18146.862271600014</v>
      </c>
      <c r="DJ40" s="79">
        <v>6405842.3818748053</v>
      </c>
      <c r="DK40" s="84">
        <v>-0.52187480498105288</v>
      </c>
      <c r="DL40" s="84">
        <v>222504.86</v>
      </c>
      <c r="DM40" s="84">
        <f t="shared" si="0"/>
        <v>6628346.7200000007</v>
      </c>
      <c r="DN40" s="116">
        <f t="shared" si="1"/>
        <v>0</v>
      </c>
      <c r="DO40" s="116">
        <f t="shared" si="2"/>
        <v>0</v>
      </c>
      <c r="DP40" s="116">
        <f t="shared" si="3"/>
        <v>16.100000000000001</v>
      </c>
      <c r="DQ40" s="116">
        <f t="shared" si="4"/>
        <v>15.181818181818182</v>
      </c>
      <c r="DR40" s="116">
        <f t="shared" si="5"/>
        <v>6</v>
      </c>
    </row>
    <row r="41" spans="1:122" x14ac:dyDescent="0.25">
      <c r="A41" s="76">
        <v>258</v>
      </c>
      <c r="B41" s="76" t="s">
        <v>179</v>
      </c>
      <c r="C41" s="77" t="s">
        <v>135</v>
      </c>
      <c r="D41" s="41">
        <v>3</v>
      </c>
      <c r="E41" s="78">
        <v>342</v>
      </c>
      <c r="F41" s="78">
        <v>38.415094339622641</v>
      </c>
      <c r="G41" s="115">
        <f>'[8]FY20 Initial Budget Allocat (2)'!G41/'FY20 Initial Budget Allocat FTE'!G$121</f>
        <v>1</v>
      </c>
      <c r="H41" s="115">
        <f>'[8]FY20 Initial Budget Allocat (2)'!H41/'FY20 Initial Budget Allocat FTE'!H$121</f>
        <v>1</v>
      </c>
      <c r="I41" s="115">
        <f>'[8]FY20 Initial Budget Allocat (2)'!I41/'FY20 Initial Budget Allocat FTE'!I$121</f>
        <v>0.9</v>
      </c>
      <c r="J41" s="115">
        <f>'[8]FY20 Initial Budget Allocat (2)'!J41/'FY20 Initial Budget Allocat FTE'!J$121</f>
        <v>0</v>
      </c>
      <c r="K41" s="115">
        <f>'[8]FY20 Initial Budget Allocat (2)'!K41/'FY20 Initial Budget Allocat FTE'!K$121</f>
        <v>0</v>
      </c>
      <c r="L41" s="115">
        <f>'[8]FY20 Initial Budget Allocat (2)'!L41/'FY20 Initial Budget Allocat FTE'!L$121</f>
        <v>1</v>
      </c>
      <c r="M41" s="115">
        <f>'[8]FY20 Initial Budget Allocat (2)'!M41/'FY20 Initial Budget Allocat FTE'!M$121</f>
        <v>1</v>
      </c>
      <c r="N41" s="115">
        <f>'[8]FY20 Initial Budget Allocat (2)'!N41/'FY20 Initial Budget Allocat FTE'!N$121</f>
        <v>0</v>
      </c>
      <c r="O41" s="115">
        <f>'[8]FY20 Initial Budget Allocat (2)'!O41/'FY20 Initial Budget Allocat FTE'!O$121</f>
        <v>0</v>
      </c>
      <c r="P41" s="115">
        <f>'[8]FY20 Initial Budget Allocat (2)'!P41/'FY20 Initial Budget Allocat FTE'!P$121</f>
        <v>0</v>
      </c>
      <c r="Q41" s="115">
        <f>'[8]FY20 Initial Budget Allocat (2)'!Q41/'FY20 Initial Budget Allocat FTE'!Q$121</f>
        <v>0</v>
      </c>
      <c r="R41" s="115">
        <f>'[8]FY20 Initial Budget Allocat (2)'!R41/'FY20 Initial Budget Allocat FTE'!R$121</f>
        <v>1</v>
      </c>
      <c r="S41" s="115">
        <f>'[8]FY20 Initial Budget Allocat (2)'!S41/'FY20 Initial Budget Allocat FTE'!S$121</f>
        <v>1</v>
      </c>
      <c r="T41" s="115">
        <f>'[8]FY20 Initial Budget Allocat (2)'!T41/'FY20 Initial Budget Allocat FTE'!T$121</f>
        <v>2</v>
      </c>
      <c r="U41" s="115">
        <f>'[8]FY20 Initial Budget Allocat (2)'!U41/'FY20 Initial Budget Allocat FTE'!U$121</f>
        <v>1</v>
      </c>
      <c r="V41" s="115">
        <f>'[8]FY20 Initial Budget Allocat (2)'!V41/'FY20 Initial Budget Allocat FTE'!V$121</f>
        <v>1</v>
      </c>
      <c r="W41" s="115">
        <f>'[8]FY20 Initial Budget Allocat (2)'!W41/'FY20 Initial Budget Allocat FTE'!W$121</f>
        <v>1</v>
      </c>
      <c r="X41" s="115">
        <f>'[8]FY20 Initial Budget Allocat (2)'!X41/'FY20 Initial Budget Allocat FTE'!X$121</f>
        <v>1</v>
      </c>
      <c r="Y41" s="115">
        <f>'[8]FY20 Initial Budget Allocat (2)'!Y41/'FY20 Initial Budget Allocat FTE'!Y$121</f>
        <v>0</v>
      </c>
      <c r="Z41" s="115">
        <f>'[8]FY20 Initial Budget Allocat (2)'!Z41/'FY20 Initial Budget Allocat FTE'!Z$121</f>
        <v>0</v>
      </c>
      <c r="AA41" s="115">
        <f>'[8]FY20 Initial Budget Allocat (2)'!AA41/'FY20 Initial Budget Allocat FTE'!AA$121</f>
        <v>0</v>
      </c>
      <c r="AB41" s="115">
        <f>'[8]FY20 Initial Budget Allocat (2)'!AB41/'FY20 Initial Budget Allocat FTE'!AB$121</f>
        <v>0</v>
      </c>
      <c r="AC41" s="115">
        <f>'[8]FY20 Initial Budget Allocat (2)'!AC41/'FY20 Initial Budget Allocat FTE'!AC$121</f>
        <v>0</v>
      </c>
      <c r="AD41" s="115">
        <f>'[8]FY20 Initial Budget Allocat (2)'!AD41/'FY20 Initial Budget Allocat FTE'!AD$121</f>
        <v>0</v>
      </c>
      <c r="AE41" s="115">
        <f>'[8]FY20 Initial Budget Allocat (2)'!AE41/'FY20 Initial Budget Allocat FTE'!AE$121</f>
        <v>2</v>
      </c>
      <c r="AF41" s="115">
        <f>'[8]FY20 Initial Budget Allocat (2)'!AF41/'FY20 Initial Budget Allocat FTE'!AF$121</f>
        <v>2</v>
      </c>
      <c r="AG41" s="115">
        <f>'[8]FY20 Initial Budget Allocat (2)'!AG41/'FY20 Initial Budget Allocat FTE'!AG$121</f>
        <v>3.0000000000000004</v>
      </c>
      <c r="AH41" s="115">
        <f>'[8]FY20 Initial Budget Allocat (2)'!AH41/'FY20 Initial Budget Allocat FTE'!AH$121</f>
        <v>3</v>
      </c>
      <c r="AI41" s="115">
        <f>'[8]FY20 Initial Budget Allocat (2)'!AI41/'FY20 Initial Budget Allocat FTE'!AI$121</f>
        <v>3.0000000000000004</v>
      </c>
      <c r="AJ41" s="115">
        <f>'[8]FY20 Initial Budget Allocat (2)'!AJ41/'FY20 Initial Budget Allocat FTE'!AJ$121</f>
        <v>3.0000000000000004</v>
      </c>
      <c r="AK41" s="115">
        <f>'[8]FY20 Initial Budget Allocat (2)'!AK41/'FY20 Initial Budget Allocat FTE'!AK$121</f>
        <v>2</v>
      </c>
      <c r="AL41" s="115">
        <f>'[8]FY20 Initial Budget Allocat (2)'!AL41/'FY20 Initial Budget Allocat FTE'!AL$121</f>
        <v>2</v>
      </c>
      <c r="AM41" s="115">
        <f>'[8]FY20 Initial Budget Allocat (2)'!AM41/'FY20 Initial Budget Allocat FTE'!AM$121</f>
        <v>2</v>
      </c>
      <c r="AN41" s="115">
        <f>'[8]FY20 Initial Budget Allocat (2)'!AN41/'FY20 Initial Budget Allocat FTE'!AN$121</f>
        <v>0</v>
      </c>
      <c r="AO41" s="115">
        <f>'[8]FY20 Initial Budget Allocat (2)'!AO41/'FY20 Initial Budget Allocat FTE'!AO$121</f>
        <v>0</v>
      </c>
      <c r="AP41" s="115">
        <f>'[8]FY20 Initial Budget Allocat (2)'!AP41/'FY20 Initial Budget Allocat FTE'!AP$121</f>
        <v>0</v>
      </c>
      <c r="AQ41" s="115">
        <f>'[8]FY20 Initial Budget Allocat (2)'!AQ41/'FY20 Initial Budget Allocat FTE'!AQ$121</f>
        <v>0</v>
      </c>
      <c r="AR41" s="115">
        <f>'[8]FY20 Initial Budget Allocat (2)'!AR41/'FY20 Initial Budget Allocat FTE'!AR$121</f>
        <v>0</v>
      </c>
      <c r="AS41" s="115">
        <f>'[8]FY20 Initial Budget Allocat (2)'!AS41/'FY20 Initial Budget Allocat FTE'!AS$121</f>
        <v>0</v>
      </c>
      <c r="AT41" s="115">
        <f>'[8]FY20 Initial Budget Allocat (2)'!AT41/'FY20 Initial Budget Allocat FTE'!AT$121</f>
        <v>0</v>
      </c>
      <c r="AU41" s="115">
        <f>'[8]FY20 Initial Budget Allocat (2)'!AU41/'FY20 Initial Budget Allocat FTE'!AU$121</f>
        <v>0</v>
      </c>
      <c r="AV41" s="115">
        <f>'[8]FY20 Initial Budget Allocat (2)'!AV41/'FY20 Initial Budget Allocat FTE'!AV$121</f>
        <v>0</v>
      </c>
      <c r="AW41" s="115">
        <f>'[8]FY20 Initial Budget Allocat (2)'!AW41/'FY20 Initial Budget Allocat FTE'!AW$121</f>
        <v>0</v>
      </c>
      <c r="AX41" s="115">
        <f>'[8]FY20 Initial Budget Allocat (2)'!AX41/'FY20 Initial Budget Allocat FTE'!AX$121</f>
        <v>0.5</v>
      </c>
      <c r="AY41" s="115">
        <f>'[8]FY20 Initial Budget Allocat (2)'!AY41/'FY20 Initial Budget Allocat FTE'!AY$121</f>
        <v>1</v>
      </c>
      <c r="AZ41" s="115">
        <f>'[8]FY20 Initial Budget Allocat (2)'!AZ41/'FY20 Initial Budget Allocat FTE'!AZ$121</f>
        <v>6.0000000000000009</v>
      </c>
      <c r="BA41" s="115">
        <f>'[8]FY20 Initial Budget Allocat (2)'!BA41/'FY20 Initial Budget Allocat FTE'!BA$121</f>
        <v>6</v>
      </c>
      <c r="BB41" s="115">
        <f>'[8]FY20 Initial Budget Allocat (2)'!BB41/'FY20 Initial Budget Allocat FTE'!BB$121</f>
        <v>0</v>
      </c>
      <c r="BC41" s="115">
        <f>'[8]FY20 Initial Budget Allocat (2)'!BC41/'FY20 Initial Budget Allocat FTE'!BC$121</f>
        <v>0</v>
      </c>
      <c r="BD41" s="115">
        <f>'[8]FY20 Initial Budget Allocat (2)'!BD41/'FY20 Initial Budget Allocat FTE'!BD$121</f>
        <v>4</v>
      </c>
      <c r="BE41" s="115">
        <f>'[8]FY20 Initial Budget Allocat (2)'!BE41/'FY20 Initial Budget Allocat FTE'!BE$121</f>
        <v>0</v>
      </c>
      <c r="BF41" s="115">
        <f>'[8]FY20 Initial Budget Allocat (2)'!BF41/'FY20 Initial Budget Allocat FTE'!BF$121</f>
        <v>0</v>
      </c>
      <c r="BG41" s="115">
        <f>'[8]FY20 Initial Budget Allocat (2)'!BG41/'FY20 Initial Budget Allocat FTE'!BG$121</f>
        <v>0</v>
      </c>
      <c r="BH41" s="115">
        <f>'[8]FY20 Initial Budget Allocat (2)'!BH41/'FY20 Initial Budget Allocat FTE'!BH$121</f>
        <v>0</v>
      </c>
      <c r="BI41" s="115">
        <f>'[8]FY20 Initial Budget Allocat (2)'!BI41/'FY20 Initial Budget Allocat FTE'!BI$121</f>
        <v>0</v>
      </c>
      <c r="BJ41" s="79"/>
      <c r="BK41" s="79">
        <v>0</v>
      </c>
      <c r="BL41" s="79"/>
      <c r="BM41" s="79">
        <v>0</v>
      </c>
      <c r="BN41" s="79">
        <v>0</v>
      </c>
      <c r="BO41" s="79">
        <v>7800</v>
      </c>
      <c r="BP41" s="115">
        <f>'[8]FY20 Initial Budget Allocat (2)'!BP41/'FY20 Initial Budget Allocat FTE'!BP$121</f>
        <v>0</v>
      </c>
      <c r="BQ41" s="115">
        <f>'[8]FY20 Initial Budget Allocat (2)'!BQ41/'FY20 Initial Budget Allocat FTE'!BQ$121</f>
        <v>0</v>
      </c>
      <c r="BR41" s="115">
        <f>'[8]FY20 Initial Budget Allocat (2)'!BR41/'FY20 Initial Budget Allocat FTE'!BR$121</f>
        <v>0</v>
      </c>
      <c r="BS41" s="115">
        <f>'[8]FY20 Initial Budget Allocat (2)'!BS41/'FY20 Initial Budget Allocat FTE'!BS$121</f>
        <v>0</v>
      </c>
      <c r="BT41" s="115">
        <f>'[8]FY20 Initial Budget Allocat (2)'!BT41/'FY20 Initial Budget Allocat FTE'!BT$121</f>
        <v>0</v>
      </c>
      <c r="BU41" s="115">
        <f>'[8]FY20 Initial Budget Allocat (2)'!BU41/'FY20 Initial Budget Allocat FTE'!BU$121</f>
        <v>0</v>
      </c>
      <c r="BV41" s="115">
        <f>'[8]FY20 Initial Budget Allocat (2)'!BV41/'FY20 Initial Budget Allocat FTE'!BV$121</f>
        <v>0</v>
      </c>
      <c r="BW41" s="80">
        <v>0</v>
      </c>
      <c r="BX41" s="80">
        <v>0</v>
      </c>
      <c r="BY41" s="80">
        <v>0</v>
      </c>
      <c r="BZ41" s="80">
        <v>0</v>
      </c>
      <c r="CA41" s="115">
        <f>'[8]FY20 Initial Budget Allocat (2)'!CA41/'FY20 Initial Budget Allocat FTE'!CA$121</f>
        <v>0</v>
      </c>
      <c r="CB41" s="115">
        <f>'[8]FY20 Initial Budget Allocat (2)'!CB41/'FY20 Initial Budget Allocat FTE'!CB$121</f>
        <v>0</v>
      </c>
      <c r="CC41" s="80">
        <v>0</v>
      </c>
      <c r="CD41" s="115">
        <f>'[8]FY20 Initial Budget Allocat (2)'!CD41/'FY20 Initial Budget Allocat FTE'!CD$121</f>
        <v>0</v>
      </c>
      <c r="CE41" s="115">
        <f>'[8]FY20 Initial Budget Allocat (2)'!CE41/'FY20 Initial Budget Allocat FTE'!CE$121</f>
        <v>0</v>
      </c>
      <c r="CF41" s="115">
        <f>'[8]FY20 Initial Budget Allocat (2)'!CF41/'FY20 Initial Budget Allocat FTE'!CF$121</f>
        <v>0</v>
      </c>
      <c r="CG41" s="115">
        <f>'[8]FY20 Initial Budget Allocat (2)'!CG41/'FY20 Initial Budget Allocat FTE'!CG$121</f>
        <v>0</v>
      </c>
      <c r="CH41" s="115">
        <f>'[8]FY20 Initial Budget Allocat (2)'!CH41/'FY20 Initial Budget Allocat FTE'!CH$121</f>
        <v>0</v>
      </c>
      <c r="CI41" s="115">
        <f>'[8]FY20 Initial Budget Allocat (2)'!CI41/'FY20 Initial Budget Allocat FTE'!CI$121</f>
        <v>0</v>
      </c>
      <c r="CJ41" s="115">
        <f>'[8]FY20 Initial Budget Allocat (2)'!CJ41/'FY20 Initial Budget Allocat FTE'!CJ$121</f>
        <v>0</v>
      </c>
      <c r="CK41" s="79">
        <v>0</v>
      </c>
      <c r="CL41" s="79">
        <v>0</v>
      </c>
      <c r="CM41" s="79">
        <v>54082.8</v>
      </c>
      <c r="CN41" s="79">
        <v>0</v>
      </c>
      <c r="CO41" s="115">
        <f>'[8]FY20 Initial Budget Allocat (2)'!CO41/'FY20 Initial Budget Allocat FTE'!CO$121</f>
        <v>0</v>
      </c>
      <c r="CP41" s="79">
        <v>0</v>
      </c>
      <c r="CQ41" s="79">
        <v>0</v>
      </c>
      <c r="CR41" s="79">
        <v>0</v>
      </c>
      <c r="CS41" s="79">
        <v>17550.636363636364</v>
      </c>
      <c r="CT41" s="115">
        <f>'[8]FY20 Initial Budget Allocat (2)'!CT41/'FY20 Initial Budget Allocat FTE'!CT$121</f>
        <v>0</v>
      </c>
      <c r="CU41" s="115">
        <f>'[8]FY20 Initial Budget Allocat (2)'!CU41/'FY20 Initial Budget Allocat FTE'!CU$121</f>
        <v>0</v>
      </c>
      <c r="CV41" s="79"/>
      <c r="CW41" s="79">
        <v>0</v>
      </c>
      <c r="CX41" s="115">
        <f>'[8]FY20 Initial Budget Allocat (2)'!CX41/'FY20 Initial Budget Allocat FTE'!CX$121</f>
        <v>0</v>
      </c>
      <c r="CY41" s="79">
        <v>0</v>
      </c>
      <c r="CZ41" s="79">
        <v>0</v>
      </c>
      <c r="DA41" s="79">
        <v>34200</v>
      </c>
      <c r="DB41" s="79">
        <v>75607.365440535199</v>
      </c>
      <c r="DC41" s="82">
        <v>0</v>
      </c>
      <c r="DD41" s="79">
        <v>0</v>
      </c>
      <c r="DE41" s="79"/>
      <c r="DF41" s="79">
        <v>3000</v>
      </c>
      <c r="DG41" s="79">
        <v>0</v>
      </c>
      <c r="DH41" s="83">
        <v>0</v>
      </c>
      <c r="DI41" s="79">
        <v>14293.422387414617</v>
      </c>
      <c r="DJ41" s="79">
        <v>4888350.4564957982</v>
      </c>
      <c r="DK41" s="84">
        <v>3.5042017698287964E-3</v>
      </c>
      <c r="DL41" s="84">
        <v>0</v>
      </c>
      <c r="DM41" s="84">
        <f t="shared" si="0"/>
        <v>4888350.46</v>
      </c>
      <c r="DN41" s="116">
        <f t="shared" si="1"/>
        <v>5</v>
      </c>
      <c r="DO41" s="116">
        <f t="shared" si="2"/>
        <v>5</v>
      </c>
      <c r="DP41" s="116">
        <f t="shared" si="3"/>
        <v>12</v>
      </c>
      <c r="DQ41" s="116">
        <f t="shared" si="4"/>
        <v>11.5</v>
      </c>
      <c r="DR41" s="116">
        <f t="shared" si="5"/>
        <v>6</v>
      </c>
    </row>
    <row r="42" spans="1:122" x14ac:dyDescent="0.25">
      <c r="A42" s="76">
        <v>249</v>
      </c>
      <c r="B42" s="76" t="s">
        <v>180</v>
      </c>
      <c r="C42" s="77" t="s">
        <v>135</v>
      </c>
      <c r="D42" s="41">
        <v>8</v>
      </c>
      <c r="E42" s="78">
        <v>339</v>
      </c>
      <c r="F42" s="78">
        <v>333</v>
      </c>
      <c r="G42" s="115">
        <f>'[8]FY20 Initial Budget Allocat (2)'!G42/'FY20 Initial Budget Allocat FTE'!G$121</f>
        <v>1</v>
      </c>
      <c r="H42" s="115">
        <f>'[8]FY20 Initial Budget Allocat (2)'!H42/'FY20 Initial Budget Allocat FTE'!H$121</f>
        <v>1</v>
      </c>
      <c r="I42" s="115">
        <f>'[8]FY20 Initial Budget Allocat (2)'!I42/'FY20 Initial Budget Allocat FTE'!I$121</f>
        <v>0.8</v>
      </c>
      <c r="J42" s="115">
        <f>'[8]FY20 Initial Budget Allocat (2)'!J42/'FY20 Initial Budget Allocat FTE'!J$121</f>
        <v>0</v>
      </c>
      <c r="K42" s="115">
        <f>'[8]FY20 Initial Budget Allocat (2)'!K42/'FY20 Initial Budget Allocat FTE'!K$121</f>
        <v>0</v>
      </c>
      <c r="L42" s="115">
        <f>'[8]FY20 Initial Budget Allocat (2)'!L42/'FY20 Initial Budget Allocat FTE'!L$121</f>
        <v>1</v>
      </c>
      <c r="M42" s="115">
        <f>'[8]FY20 Initial Budget Allocat (2)'!M42/'FY20 Initial Budget Allocat FTE'!M$121</f>
        <v>1</v>
      </c>
      <c r="N42" s="115">
        <f>'[8]FY20 Initial Budget Allocat (2)'!N42/'FY20 Initial Budget Allocat FTE'!N$121</f>
        <v>0</v>
      </c>
      <c r="O42" s="115">
        <f>'[8]FY20 Initial Budget Allocat (2)'!O42/'FY20 Initial Budget Allocat FTE'!O$121</f>
        <v>0</v>
      </c>
      <c r="P42" s="115">
        <f>'[8]FY20 Initial Budget Allocat (2)'!P42/'FY20 Initial Budget Allocat FTE'!P$121</f>
        <v>0</v>
      </c>
      <c r="Q42" s="115">
        <f>'[8]FY20 Initial Budget Allocat (2)'!Q42/'FY20 Initial Budget Allocat FTE'!Q$121</f>
        <v>0</v>
      </c>
      <c r="R42" s="115">
        <f>'[8]FY20 Initial Budget Allocat (2)'!R42/'FY20 Initial Budget Allocat FTE'!R$121</f>
        <v>1</v>
      </c>
      <c r="S42" s="115">
        <f>'[8]FY20 Initial Budget Allocat (2)'!S42/'FY20 Initial Budget Allocat FTE'!S$121</f>
        <v>1</v>
      </c>
      <c r="T42" s="115">
        <f>'[8]FY20 Initial Budget Allocat (2)'!T42/'FY20 Initial Budget Allocat FTE'!T$121</f>
        <v>2</v>
      </c>
      <c r="U42" s="115">
        <f>'[8]FY20 Initial Budget Allocat (2)'!U42/'FY20 Initial Budget Allocat FTE'!U$121</f>
        <v>1</v>
      </c>
      <c r="V42" s="115">
        <f>'[8]FY20 Initial Budget Allocat (2)'!V42/'FY20 Initial Budget Allocat FTE'!V$121</f>
        <v>1</v>
      </c>
      <c r="W42" s="115">
        <f>'[8]FY20 Initial Budget Allocat (2)'!W42/'FY20 Initial Budget Allocat FTE'!W$121</f>
        <v>1</v>
      </c>
      <c r="X42" s="115">
        <f>'[8]FY20 Initial Budget Allocat (2)'!X42/'FY20 Initial Budget Allocat FTE'!X$121</f>
        <v>1</v>
      </c>
      <c r="Y42" s="115">
        <f>'[8]FY20 Initial Budget Allocat (2)'!Y42/'FY20 Initial Budget Allocat FTE'!Y$121</f>
        <v>0</v>
      </c>
      <c r="Z42" s="115">
        <f>'[8]FY20 Initial Budget Allocat (2)'!Z42/'FY20 Initial Budget Allocat FTE'!Z$121</f>
        <v>0</v>
      </c>
      <c r="AA42" s="115">
        <f>'[8]FY20 Initial Budget Allocat (2)'!AA42/'FY20 Initial Budget Allocat FTE'!AA$121</f>
        <v>2</v>
      </c>
      <c r="AB42" s="115">
        <f>'[8]FY20 Initial Budget Allocat (2)'!AB42/'FY20 Initial Budget Allocat FTE'!AB$121</f>
        <v>2</v>
      </c>
      <c r="AC42" s="115">
        <f>'[8]FY20 Initial Budget Allocat (2)'!AC42/'FY20 Initial Budget Allocat FTE'!AC$121</f>
        <v>0</v>
      </c>
      <c r="AD42" s="115">
        <f>'[8]FY20 Initial Budget Allocat (2)'!AD42/'FY20 Initial Budget Allocat FTE'!AD$121</f>
        <v>0</v>
      </c>
      <c r="AE42" s="115">
        <f>'[8]FY20 Initial Budget Allocat (2)'!AE42/'FY20 Initial Budget Allocat FTE'!AE$121</f>
        <v>2</v>
      </c>
      <c r="AF42" s="115">
        <f>'[8]FY20 Initial Budget Allocat (2)'!AF42/'FY20 Initial Budget Allocat FTE'!AF$121</f>
        <v>2</v>
      </c>
      <c r="AG42" s="115">
        <f>'[8]FY20 Initial Budget Allocat (2)'!AG42/'FY20 Initial Budget Allocat FTE'!AG$121</f>
        <v>3.0000000000000004</v>
      </c>
      <c r="AH42" s="115">
        <f>'[8]FY20 Initial Budget Allocat (2)'!AH42/'FY20 Initial Budget Allocat FTE'!AH$121</f>
        <v>3</v>
      </c>
      <c r="AI42" s="115">
        <f>'[8]FY20 Initial Budget Allocat (2)'!AI42/'FY20 Initial Budget Allocat FTE'!AI$121</f>
        <v>3.0000000000000004</v>
      </c>
      <c r="AJ42" s="115">
        <f>'[8]FY20 Initial Budget Allocat (2)'!AJ42/'FY20 Initial Budget Allocat FTE'!AJ$121</f>
        <v>3.0000000000000004</v>
      </c>
      <c r="AK42" s="115">
        <f>'[8]FY20 Initial Budget Allocat (2)'!AK42/'FY20 Initial Budget Allocat FTE'!AK$121</f>
        <v>2</v>
      </c>
      <c r="AL42" s="115">
        <f>'[8]FY20 Initial Budget Allocat (2)'!AL42/'FY20 Initial Budget Allocat FTE'!AL$121</f>
        <v>2</v>
      </c>
      <c r="AM42" s="115">
        <f>'[8]FY20 Initial Budget Allocat (2)'!AM42/'FY20 Initial Budget Allocat FTE'!AM$121</f>
        <v>2</v>
      </c>
      <c r="AN42" s="115">
        <f>'[8]FY20 Initial Budget Allocat (2)'!AN42/'FY20 Initial Budget Allocat FTE'!AN$121</f>
        <v>0</v>
      </c>
      <c r="AO42" s="115">
        <f>'[8]FY20 Initial Budget Allocat (2)'!AO42/'FY20 Initial Budget Allocat FTE'!AO$121</f>
        <v>0</v>
      </c>
      <c r="AP42" s="115">
        <f>'[8]FY20 Initial Budget Allocat (2)'!AP42/'FY20 Initial Budget Allocat FTE'!AP$121</f>
        <v>0</v>
      </c>
      <c r="AQ42" s="115">
        <f>'[8]FY20 Initial Budget Allocat (2)'!AQ42/'FY20 Initial Budget Allocat FTE'!AQ$121</f>
        <v>0</v>
      </c>
      <c r="AR42" s="115">
        <f>'[8]FY20 Initial Budget Allocat (2)'!AR42/'FY20 Initial Budget Allocat FTE'!AR$121</f>
        <v>0</v>
      </c>
      <c r="AS42" s="115">
        <f>'[8]FY20 Initial Budget Allocat (2)'!AS42/'FY20 Initial Budget Allocat FTE'!AS$121</f>
        <v>0</v>
      </c>
      <c r="AT42" s="115">
        <f>'[8]FY20 Initial Budget Allocat (2)'!AT42/'FY20 Initial Budget Allocat FTE'!AT$121</f>
        <v>0</v>
      </c>
      <c r="AU42" s="115">
        <f>'[8]FY20 Initial Budget Allocat (2)'!AU42/'FY20 Initial Budget Allocat FTE'!AU$121</f>
        <v>0</v>
      </c>
      <c r="AV42" s="115">
        <f>'[8]FY20 Initial Budget Allocat (2)'!AV42/'FY20 Initial Budget Allocat FTE'!AV$121</f>
        <v>0</v>
      </c>
      <c r="AW42" s="115">
        <f>'[8]FY20 Initial Budget Allocat (2)'!AW42/'FY20 Initial Budget Allocat FTE'!AW$121</f>
        <v>0</v>
      </c>
      <c r="AX42" s="115">
        <f>'[8]FY20 Initial Budget Allocat (2)'!AX42/'FY20 Initial Budget Allocat FTE'!AX$121</f>
        <v>1</v>
      </c>
      <c r="AY42" s="115">
        <f>'[8]FY20 Initial Budget Allocat (2)'!AY42/'FY20 Initial Budget Allocat FTE'!AY$121</f>
        <v>2</v>
      </c>
      <c r="AZ42" s="115">
        <f>'[8]FY20 Initial Budget Allocat (2)'!AZ42/'FY20 Initial Budget Allocat FTE'!AZ$121</f>
        <v>3.0000000000000004</v>
      </c>
      <c r="BA42" s="115">
        <f>'[8]FY20 Initial Budget Allocat (2)'!BA42/'FY20 Initial Budget Allocat FTE'!BA$121</f>
        <v>1</v>
      </c>
      <c r="BB42" s="115">
        <f>'[8]FY20 Initial Budget Allocat (2)'!BB42/'FY20 Initial Budget Allocat FTE'!BB$121</f>
        <v>1</v>
      </c>
      <c r="BC42" s="115">
        <f>'[8]FY20 Initial Budget Allocat (2)'!BC42/'FY20 Initial Budget Allocat FTE'!BC$121</f>
        <v>0</v>
      </c>
      <c r="BD42" s="115">
        <f>'[8]FY20 Initial Budget Allocat (2)'!BD42/'FY20 Initial Budget Allocat FTE'!BD$121</f>
        <v>0</v>
      </c>
      <c r="BE42" s="115">
        <f>'[8]FY20 Initial Budget Allocat (2)'!BE42/'FY20 Initial Budget Allocat FTE'!BE$121</f>
        <v>0</v>
      </c>
      <c r="BF42" s="115">
        <f>'[8]FY20 Initial Budget Allocat (2)'!BF42/'FY20 Initial Budget Allocat FTE'!BF$121</f>
        <v>0</v>
      </c>
      <c r="BG42" s="115">
        <f>'[8]FY20 Initial Budget Allocat (2)'!BG42/'FY20 Initial Budget Allocat FTE'!BG$121</f>
        <v>2.1252589375208819</v>
      </c>
      <c r="BH42" s="115">
        <f>'[8]FY20 Initial Budget Allocat (2)'!BH42/'FY20 Initial Budget Allocat FTE'!BH$121</f>
        <v>6</v>
      </c>
      <c r="BI42" s="115">
        <f>'[8]FY20 Initial Budget Allocat (2)'!BI42/'FY20 Initial Budget Allocat FTE'!BI$121</f>
        <v>1</v>
      </c>
      <c r="BJ42" s="79"/>
      <c r="BK42" s="79">
        <v>0</v>
      </c>
      <c r="BL42" s="79">
        <v>23194.2</v>
      </c>
      <c r="BM42" s="79">
        <v>180172.48</v>
      </c>
      <c r="BN42" s="79">
        <v>2867.01</v>
      </c>
      <c r="BO42" s="79">
        <v>0</v>
      </c>
      <c r="BP42" s="115">
        <f>'[8]FY20 Initial Budget Allocat (2)'!BP42/'FY20 Initial Budget Allocat FTE'!BP$121</f>
        <v>0</v>
      </c>
      <c r="BQ42" s="115">
        <f>'[8]FY20 Initial Budget Allocat (2)'!BQ42/'FY20 Initial Budget Allocat FTE'!BQ$121</f>
        <v>0</v>
      </c>
      <c r="BR42" s="115">
        <f>'[8]FY20 Initial Budget Allocat (2)'!BR42/'FY20 Initial Budget Allocat FTE'!BR$121</f>
        <v>0</v>
      </c>
      <c r="BS42" s="115">
        <f>'[8]FY20 Initial Budget Allocat (2)'!BS42/'FY20 Initial Budget Allocat FTE'!BS$121</f>
        <v>0</v>
      </c>
      <c r="BT42" s="115">
        <f>'[8]FY20 Initial Budget Allocat (2)'!BT42/'FY20 Initial Budget Allocat FTE'!BT$121</f>
        <v>0</v>
      </c>
      <c r="BU42" s="115">
        <f>'[8]FY20 Initial Budget Allocat (2)'!BU42/'FY20 Initial Budget Allocat FTE'!BU$121</f>
        <v>0</v>
      </c>
      <c r="BV42" s="115">
        <f>'[8]FY20 Initial Budget Allocat (2)'!BV42/'FY20 Initial Budget Allocat FTE'!BV$121</f>
        <v>0</v>
      </c>
      <c r="BW42" s="80">
        <v>0</v>
      </c>
      <c r="BX42" s="80">
        <v>0</v>
      </c>
      <c r="BY42" s="80">
        <v>0</v>
      </c>
      <c r="BZ42" s="80">
        <v>0</v>
      </c>
      <c r="CA42" s="115">
        <f>'[8]FY20 Initial Budget Allocat (2)'!CA42/'FY20 Initial Budget Allocat FTE'!CA$121</f>
        <v>0</v>
      </c>
      <c r="CB42" s="115">
        <f>'[8]FY20 Initial Budget Allocat (2)'!CB42/'FY20 Initial Budget Allocat FTE'!CB$121</f>
        <v>0</v>
      </c>
      <c r="CC42" s="80">
        <v>0</v>
      </c>
      <c r="CD42" s="115">
        <f>'[8]FY20 Initial Budget Allocat (2)'!CD42/'FY20 Initial Budget Allocat FTE'!CD$121</f>
        <v>0</v>
      </c>
      <c r="CE42" s="115">
        <f>'[8]FY20 Initial Budget Allocat (2)'!CE42/'FY20 Initial Budget Allocat FTE'!CE$121</f>
        <v>0</v>
      </c>
      <c r="CF42" s="115">
        <f>'[8]FY20 Initial Budget Allocat (2)'!CF42/'FY20 Initial Budget Allocat FTE'!CF$121</f>
        <v>0</v>
      </c>
      <c r="CG42" s="115">
        <f>'[8]FY20 Initial Budget Allocat (2)'!CG42/'FY20 Initial Budget Allocat FTE'!CG$121</f>
        <v>0</v>
      </c>
      <c r="CH42" s="115">
        <f>'[8]FY20 Initial Budget Allocat (2)'!CH42/'FY20 Initial Budget Allocat FTE'!CH$121</f>
        <v>0</v>
      </c>
      <c r="CI42" s="115">
        <f>'[8]FY20 Initial Budget Allocat (2)'!CI42/'FY20 Initial Budget Allocat FTE'!CI$121</f>
        <v>0</v>
      </c>
      <c r="CJ42" s="115">
        <f>'[8]FY20 Initial Budget Allocat (2)'!CJ42/'FY20 Initial Budget Allocat FTE'!CJ$121</f>
        <v>0</v>
      </c>
      <c r="CK42" s="79">
        <v>0</v>
      </c>
      <c r="CL42" s="79">
        <v>0</v>
      </c>
      <c r="CM42" s="79">
        <v>142677</v>
      </c>
      <c r="CN42" s="79">
        <v>0</v>
      </c>
      <c r="CO42" s="115">
        <f>'[8]FY20 Initial Budget Allocat (2)'!CO42/'FY20 Initial Budget Allocat FTE'!CO$121</f>
        <v>0</v>
      </c>
      <c r="CP42" s="79">
        <v>0</v>
      </c>
      <c r="CQ42" s="79">
        <v>13320</v>
      </c>
      <c r="CR42" s="79">
        <v>0</v>
      </c>
      <c r="CS42" s="79">
        <v>18910.538461538461</v>
      </c>
      <c r="CT42" s="115">
        <f>'[8]FY20 Initial Budget Allocat (2)'!CT42/'FY20 Initial Budget Allocat FTE'!CT$121</f>
        <v>0</v>
      </c>
      <c r="CU42" s="115">
        <f>'[8]FY20 Initial Budget Allocat (2)'!CU42/'FY20 Initial Budget Allocat FTE'!CU$121</f>
        <v>0</v>
      </c>
      <c r="CV42" s="79"/>
      <c r="CW42" s="79">
        <v>0</v>
      </c>
      <c r="CX42" s="115">
        <f>'[8]FY20 Initial Budget Allocat (2)'!CX42/'FY20 Initial Budget Allocat FTE'!CX$121</f>
        <v>0</v>
      </c>
      <c r="CY42" s="79">
        <v>0</v>
      </c>
      <c r="CZ42" s="79">
        <v>0</v>
      </c>
      <c r="DA42" s="79">
        <v>33900</v>
      </c>
      <c r="DB42" s="79">
        <v>68344.914787734087</v>
      </c>
      <c r="DC42" s="82">
        <v>0</v>
      </c>
      <c r="DD42" s="79">
        <v>15363.214285714286</v>
      </c>
      <c r="DE42" s="79"/>
      <c r="DF42" s="79">
        <v>42000</v>
      </c>
      <c r="DG42" s="79">
        <v>0</v>
      </c>
      <c r="DH42" s="83"/>
      <c r="DI42" s="79">
        <v>14274.049913711753</v>
      </c>
      <c r="DJ42" s="79">
        <v>4838902.9207482841</v>
      </c>
      <c r="DK42" s="84">
        <v>218228.07925171591</v>
      </c>
      <c r="DL42" s="84">
        <v>377987.64</v>
      </c>
      <c r="DM42" s="84">
        <f t="shared" si="0"/>
        <v>5435118.6399999997</v>
      </c>
      <c r="DN42" s="116">
        <f t="shared" si="1"/>
        <v>7</v>
      </c>
      <c r="DO42" s="116">
        <f t="shared" si="2"/>
        <v>7</v>
      </c>
      <c r="DP42" s="116">
        <f t="shared" si="3"/>
        <v>12</v>
      </c>
      <c r="DQ42" s="116">
        <f t="shared" si="4"/>
        <v>6</v>
      </c>
      <c r="DR42" s="116">
        <f t="shared" si="5"/>
        <v>1</v>
      </c>
    </row>
    <row r="43" spans="1:122" x14ac:dyDescent="0.25">
      <c r="A43" s="76">
        <v>251</v>
      </c>
      <c r="B43" s="76" t="s">
        <v>181</v>
      </c>
      <c r="C43" s="77" t="s">
        <v>135</v>
      </c>
      <c r="D43" s="41">
        <v>7</v>
      </c>
      <c r="E43" s="78">
        <v>256</v>
      </c>
      <c r="F43" s="78">
        <v>210.19795221843003</v>
      </c>
      <c r="G43" s="115">
        <f>'[8]FY20 Initial Budget Allocat (2)'!G43/'FY20 Initial Budget Allocat FTE'!G$121</f>
        <v>1</v>
      </c>
      <c r="H43" s="115">
        <f>'[8]FY20 Initial Budget Allocat (2)'!H43/'FY20 Initial Budget Allocat FTE'!H$121</f>
        <v>1</v>
      </c>
      <c r="I43" s="115">
        <f>'[8]FY20 Initial Budget Allocat (2)'!I43/'FY20 Initial Budget Allocat FTE'!I$121</f>
        <v>0</v>
      </c>
      <c r="J43" s="115">
        <f>'[8]FY20 Initial Budget Allocat (2)'!J43/'FY20 Initial Budget Allocat FTE'!J$121</f>
        <v>0</v>
      </c>
      <c r="K43" s="115">
        <f>'[8]FY20 Initial Budget Allocat (2)'!K43/'FY20 Initial Budget Allocat FTE'!K$121</f>
        <v>0</v>
      </c>
      <c r="L43" s="115">
        <f>'[8]FY20 Initial Budget Allocat (2)'!L43/'FY20 Initial Budget Allocat FTE'!L$121</f>
        <v>0.5</v>
      </c>
      <c r="M43" s="115">
        <f>'[8]FY20 Initial Budget Allocat (2)'!M43/'FY20 Initial Budget Allocat FTE'!M$121</f>
        <v>1</v>
      </c>
      <c r="N43" s="115">
        <f>'[8]FY20 Initial Budget Allocat (2)'!N43/'FY20 Initial Budget Allocat FTE'!N$121</f>
        <v>0</v>
      </c>
      <c r="O43" s="115">
        <f>'[8]FY20 Initial Budget Allocat (2)'!O43/'FY20 Initial Budget Allocat FTE'!O$121</f>
        <v>0</v>
      </c>
      <c r="P43" s="115">
        <f>'[8]FY20 Initial Budget Allocat (2)'!P43/'FY20 Initial Budget Allocat FTE'!P$121</f>
        <v>0</v>
      </c>
      <c r="Q43" s="115">
        <f>'[8]FY20 Initial Budget Allocat (2)'!Q43/'FY20 Initial Budget Allocat FTE'!Q$121</f>
        <v>0</v>
      </c>
      <c r="R43" s="115">
        <f>'[8]FY20 Initial Budget Allocat (2)'!R43/'FY20 Initial Budget Allocat FTE'!R$121</f>
        <v>1</v>
      </c>
      <c r="S43" s="115">
        <f>'[8]FY20 Initial Budget Allocat (2)'!S43/'FY20 Initial Budget Allocat FTE'!S$121</f>
        <v>1</v>
      </c>
      <c r="T43" s="115">
        <f>'[8]FY20 Initial Budget Allocat (2)'!T43/'FY20 Initial Budget Allocat FTE'!T$121</f>
        <v>1</v>
      </c>
      <c r="U43" s="115">
        <f>'[8]FY20 Initial Budget Allocat (2)'!U43/'FY20 Initial Budget Allocat FTE'!U$121</f>
        <v>0.5</v>
      </c>
      <c r="V43" s="115">
        <f>'[8]FY20 Initial Budget Allocat (2)'!V43/'FY20 Initial Budget Allocat FTE'!V$121</f>
        <v>1</v>
      </c>
      <c r="W43" s="115">
        <f>'[8]FY20 Initial Budget Allocat (2)'!W43/'FY20 Initial Budget Allocat FTE'!W$121</f>
        <v>1</v>
      </c>
      <c r="X43" s="115">
        <f>'[8]FY20 Initial Budget Allocat (2)'!X43/'FY20 Initial Budget Allocat FTE'!X$121</f>
        <v>1</v>
      </c>
      <c r="Y43" s="115">
        <f>'[8]FY20 Initial Budget Allocat (2)'!Y43/'FY20 Initial Budget Allocat FTE'!Y$121</f>
        <v>0</v>
      </c>
      <c r="Z43" s="115">
        <f>'[8]FY20 Initial Budget Allocat (2)'!Z43/'FY20 Initial Budget Allocat FTE'!Z$121</f>
        <v>0</v>
      </c>
      <c r="AA43" s="115">
        <f>'[8]FY20 Initial Budget Allocat (2)'!AA43/'FY20 Initial Budget Allocat FTE'!AA$121</f>
        <v>2</v>
      </c>
      <c r="AB43" s="115">
        <f>'[8]FY20 Initial Budget Allocat (2)'!AB43/'FY20 Initial Budget Allocat FTE'!AB$121</f>
        <v>2</v>
      </c>
      <c r="AC43" s="115">
        <f>'[8]FY20 Initial Budget Allocat (2)'!AC43/'FY20 Initial Budget Allocat FTE'!AC$121</f>
        <v>0</v>
      </c>
      <c r="AD43" s="115">
        <f>'[8]FY20 Initial Budget Allocat (2)'!AD43/'FY20 Initial Budget Allocat FTE'!AD$121</f>
        <v>0</v>
      </c>
      <c r="AE43" s="115">
        <f>'[8]FY20 Initial Budget Allocat (2)'!AE43/'FY20 Initial Budget Allocat FTE'!AE$121</f>
        <v>2</v>
      </c>
      <c r="AF43" s="115">
        <f>'[8]FY20 Initial Budget Allocat (2)'!AF43/'FY20 Initial Budget Allocat FTE'!AF$121</f>
        <v>2</v>
      </c>
      <c r="AG43" s="115">
        <f>'[8]FY20 Initial Budget Allocat (2)'!AG43/'FY20 Initial Budget Allocat FTE'!AG$121</f>
        <v>2</v>
      </c>
      <c r="AH43" s="115">
        <f>'[8]FY20 Initial Budget Allocat (2)'!AH43/'FY20 Initial Budget Allocat FTE'!AH$121</f>
        <v>2</v>
      </c>
      <c r="AI43" s="115">
        <f>'[8]FY20 Initial Budget Allocat (2)'!AI43/'FY20 Initial Budget Allocat FTE'!AI$121</f>
        <v>2</v>
      </c>
      <c r="AJ43" s="115">
        <f>'[8]FY20 Initial Budget Allocat (2)'!AJ43/'FY20 Initial Budget Allocat FTE'!AJ$121</f>
        <v>2</v>
      </c>
      <c r="AK43" s="115">
        <f>'[8]FY20 Initial Budget Allocat (2)'!AK43/'FY20 Initial Budget Allocat FTE'!AK$121</f>
        <v>2</v>
      </c>
      <c r="AL43" s="115">
        <f>'[8]FY20 Initial Budget Allocat (2)'!AL43/'FY20 Initial Budget Allocat FTE'!AL$121</f>
        <v>2</v>
      </c>
      <c r="AM43" s="115">
        <f>'[8]FY20 Initial Budget Allocat (2)'!AM43/'FY20 Initial Budget Allocat FTE'!AM$121</f>
        <v>1</v>
      </c>
      <c r="AN43" s="115">
        <f>'[8]FY20 Initial Budget Allocat (2)'!AN43/'FY20 Initial Budget Allocat FTE'!AN$121</f>
        <v>0</v>
      </c>
      <c r="AO43" s="115">
        <f>'[8]FY20 Initial Budget Allocat (2)'!AO43/'FY20 Initial Budget Allocat FTE'!AO$121</f>
        <v>0</v>
      </c>
      <c r="AP43" s="115">
        <f>'[8]FY20 Initial Budget Allocat (2)'!AP43/'FY20 Initial Budget Allocat FTE'!AP$121</f>
        <v>0</v>
      </c>
      <c r="AQ43" s="115">
        <f>'[8]FY20 Initial Budget Allocat (2)'!AQ43/'FY20 Initial Budget Allocat FTE'!AQ$121</f>
        <v>0</v>
      </c>
      <c r="AR43" s="115">
        <f>'[8]FY20 Initial Budget Allocat (2)'!AR43/'FY20 Initial Budget Allocat FTE'!AR$121</f>
        <v>0</v>
      </c>
      <c r="AS43" s="115">
        <f>'[8]FY20 Initial Budget Allocat (2)'!AS43/'FY20 Initial Budget Allocat FTE'!AS$121</f>
        <v>0</v>
      </c>
      <c r="AT43" s="115">
        <f>'[8]FY20 Initial Budget Allocat (2)'!AT43/'FY20 Initial Budget Allocat FTE'!AT$121</f>
        <v>0</v>
      </c>
      <c r="AU43" s="115">
        <f>'[8]FY20 Initial Budget Allocat (2)'!AU43/'FY20 Initial Budget Allocat FTE'!AU$121</f>
        <v>0</v>
      </c>
      <c r="AV43" s="115">
        <f>'[8]FY20 Initial Budget Allocat (2)'!AV43/'FY20 Initial Budget Allocat FTE'!AV$121</f>
        <v>0</v>
      </c>
      <c r="AW43" s="115">
        <f>'[8]FY20 Initial Budget Allocat (2)'!AW43/'FY20 Initial Budget Allocat FTE'!AW$121</f>
        <v>0</v>
      </c>
      <c r="AX43" s="115">
        <f>'[8]FY20 Initial Budget Allocat (2)'!AX43/'FY20 Initial Budget Allocat FTE'!AX$121</f>
        <v>1</v>
      </c>
      <c r="AY43" s="115">
        <f>'[8]FY20 Initial Budget Allocat (2)'!AY43/'FY20 Initial Budget Allocat FTE'!AY$121</f>
        <v>1</v>
      </c>
      <c r="AZ43" s="115">
        <f>'[8]FY20 Initial Budget Allocat (2)'!AZ43/'FY20 Initial Budget Allocat FTE'!AZ$121</f>
        <v>6.0000000000000009</v>
      </c>
      <c r="BA43" s="115">
        <f>'[8]FY20 Initial Budget Allocat (2)'!BA43/'FY20 Initial Budget Allocat FTE'!BA$121</f>
        <v>8</v>
      </c>
      <c r="BB43" s="115">
        <f>'[8]FY20 Initial Budget Allocat (2)'!BB43/'FY20 Initial Budget Allocat FTE'!BB$121</f>
        <v>0</v>
      </c>
      <c r="BC43" s="115">
        <f>'[8]FY20 Initial Budget Allocat (2)'!BC43/'FY20 Initial Budget Allocat FTE'!BC$121</f>
        <v>1</v>
      </c>
      <c r="BD43" s="115">
        <f>'[8]FY20 Initial Budget Allocat (2)'!BD43/'FY20 Initial Budget Allocat FTE'!BD$121</f>
        <v>1</v>
      </c>
      <c r="BE43" s="115">
        <f>'[8]FY20 Initial Budget Allocat (2)'!BE43/'FY20 Initial Budget Allocat FTE'!BE$121</f>
        <v>0</v>
      </c>
      <c r="BF43" s="115">
        <f>'[8]FY20 Initial Budget Allocat (2)'!BF43/'FY20 Initial Budget Allocat FTE'!BF$121</f>
        <v>0</v>
      </c>
      <c r="BG43" s="115">
        <f>'[8]FY20 Initial Budget Allocat (2)'!BG43/'FY20 Initial Budget Allocat FTE'!BG$121</f>
        <v>2.1251921149348481</v>
      </c>
      <c r="BH43" s="115">
        <f>'[8]FY20 Initial Budget Allocat (2)'!BH43/'FY20 Initial Budget Allocat FTE'!BH$121</f>
        <v>5</v>
      </c>
      <c r="BI43" s="115">
        <f>'[8]FY20 Initial Budget Allocat (2)'!BI43/'FY20 Initial Budget Allocat FTE'!BI$121</f>
        <v>1</v>
      </c>
      <c r="BJ43" s="79"/>
      <c r="BK43" s="79">
        <v>0</v>
      </c>
      <c r="BL43" s="79">
        <v>17208.599999999999</v>
      </c>
      <c r="BM43" s="79">
        <v>126928.9</v>
      </c>
      <c r="BN43" s="79">
        <v>2019.77</v>
      </c>
      <c r="BO43" s="79">
        <v>0</v>
      </c>
      <c r="BP43" s="115">
        <f>'[8]FY20 Initial Budget Allocat (2)'!BP43/'FY20 Initial Budget Allocat FTE'!BP$121</f>
        <v>0</v>
      </c>
      <c r="BQ43" s="115">
        <f>'[8]FY20 Initial Budget Allocat (2)'!BQ43/'FY20 Initial Budget Allocat FTE'!BQ$121</f>
        <v>0</v>
      </c>
      <c r="BR43" s="115">
        <f>'[8]FY20 Initial Budget Allocat (2)'!BR43/'FY20 Initial Budget Allocat FTE'!BR$121</f>
        <v>0</v>
      </c>
      <c r="BS43" s="115">
        <f>'[8]FY20 Initial Budget Allocat (2)'!BS43/'FY20 Initial Budget Allocat FTE'!BS$121</f>
        <v>0</v>
      </c>
      <c r="BT43" s="115">
        <f>'[8]FY20 Initial Budget Allocat (2)'!BT43/'FY20 Initial Budget Allocat FTE'!BT$121</f>
        <v>0</v>
      </c>
      <c r="BU43" s="115">
        <f>'[8]FY20 Initial Budget Allocat (2)'!BU43/'FY20 Initial Budget Allocat FTE'!BU$121</f>
        <v>0</v>
      </c>
      <c r="BV43" s="115">
        <f>'[8]FY20 Initial Budget Allocat (2)'!BV43/'FY20 Initial Budget Allocat FTE'!BV$121</f>
        <v>0</v>
      </c>
      <c r="BW43" s="80">
        <v>0</v>
      </c>
      <c r="BX43" s="80">
        <v>0</v>
      </c>
      <c r="BY43" s="80">
        <v>0</v>
      </c>
      <c r="BZ43" s="80">
        <v>0</v>
      </c>
      <c r="CA43" s="115">
        <f>'[8]FY20 Initial Budget Allocat (2)'!CA43/'FY20 Initial Budget Allocat FTE'!CA$121</f>
        <v>0</v>
      </c>
      <c r="CB43" s="115">
        <f>'[8]FY20 Initial Budget Allocat (2)'!CB43/'FY20 Initial Budget Allocat FTE'!CB$121</f>
        <v>0</v>
      </c>
      <c r="CC43" s="80">
        <v>0</v>
      </c>
      <c r="CD43" s="115">
        <f>'[8]FY20 Initial Budget Allocat (2)'!CD43/'FY20 Initial Budget Allocat FTE'!CD$121</f>
        <v>0</v>
      </c>
      <c r="CE43" s="115">
        <f>'[8]FY20 Initial Budget Allocat (2)'!CE43/'FY20 Initial Budget Allocat FTE'!CE$121</f>
        <v>0</v>
      </c>
      <c r="CF43" s="115">
        <f>'[8]FY20 Initial Budget Allocat (2)'!CF43/'FY20 Initial Budget Allocat FTE'!CF$121</f>
        <v>0</v>
      </c>
      <c r="CG43" s="115">
        <f>'[8]FY20 Initial Budget Allocat (2)'!CG43/'FY20 Initial Budget Allocat FTE'!CG$121</f>
        <v>0</v>
      </c>
      <c r="CH43" s="115">
        <f>'[8]FY20 Initial Budget Allocat (2)'!CH43/'FY20 Initial Budget Allocat FTE'!CH$121</f>
        <v>0</v>
      </c>
      <c r="CI43" s="115">
        <f>'[8]FY20 Initial Budget Allocat (2)'!CI43/'FY20 Initial Budget Allocat FTE'!CI$121</f>
        <v>0</v>
      </c>
      <c r="CJ43" s="115">
        <f>'[8]FY20 Initial Budget Allocat (2)'!CJ43/'FY20 Initial Budget Allocat FTE'!CJ$121</f>
        <v>0</v>
      </c>
      <c r="CK43" s="79">
        <v>0</v>
      </c>
      <c r="CL43" s="79">
        <v>0</v>
      </c>
      <c r="CM43" s="79">
        <v>108165.6</v>
      </c>
      <c r="CN43" s="79">
        <v>0</v>
      </c>
      <c r="CO43" s="115">
        <f>'[8]FY20 Initial Budget Allocat (2)'!CO43/'FY20 Initial Budget Allocat FTE'!CO$121</f>
        <v>0</v>
      </c>
      <c r="CP43" s="79">
        <v>0</v>
      </c>
      <c r="CQ43" s="79">
        <v>8407.9180887372022</v>
      </c>
      <c r="CR43" s="79">
        <v>49680</v>
      </c>
      <c r="CS43" s="79">
        <v>15006.432160804019</v>
      </c>
      <c r="CT43" s="115">
        <f>'[8]FY20 Initial Budget Allocat (2)'!CT43/'FY20 Initial Budget Allocat FTE'!CT$121</f>
        <v>0</v>
      </c>
      <c r="CU43" s="115">
        <f>'[8]FY20 Initial Budget Allocat (2)'!CU43/'FY20 Initial Budget Allocat FTE'!CU$121</f>
        <v>0</v>
      </c>
      <c r="CV43" s="79"/>
      <c r="CW43" s="79">
        <v>0</v>
      </c>
      <c r="CX43" s="115">
        <f>'[8]FY20 Initial Budget Allocat (2)'!CX43/'FY20 Initial Budget Allocat FTE'!CX$121</f>
        <v>0</v>
      </c>
      <c r="CY43" s="79">
        <v>0</v>
      </c>
      <c r="CZ43" s="79">
        <v>0</v>
      </c>
      <c r="DA43" s="79">
        <v>25600</v>
      </c>
      <c r="DB43" s="79">
        <v>67499.65343203838</v>
      </c>
      <c r="DC43" s="82">
        <v>0</v>
      </c>
      <c r="DD43" s="79">
        <v>0</v>
      </c>
      <c r="DE43" s="79"/>
      <c r="DF43" s="79">
        <v>15000</v>
      </c>
      <c r="DG43" s="79">
        <v>0</v>
      </c>
      <c r="DH43" s="83">
        <v>0</v>
      </c>
      <c r="DI43" s="79">
        <v>18069.833326453761</v>
      </c>
      <c r="DJ43" s="79">
        <v>4625877.3315721601</v>
      </c>
      <c r="DK43" s="84">
        <v>109114.66842783988</v>
      </c>
      <c r="DL43" s="84">
        <v>0</v>
      </c>
      <c r="DM43" s="84">
        <f t="shared" si="0"/>
        <v>4734992</v>
      </c>
      <c r="DN43" s="116">
        <f t="shared" si="1"/>
        <v>6</v>
      </c>
      <c r="DO43" s="116">
        <f t="shared" si="2"/>
        <v>6</v>
      </c>
      <c r="DP43" s="116">
        <f t="shared" si="3"/>
        <v>9</v>
      </c>
      <c r="DQ43" s="116">
        <f t="shared" si="4"/>
        <v>9</v>
      </c>
      <c r="DR43" s="116">
        <f t="shared" si="5"/>
        <v>8</v>
      </c>
    </row>
    <row r="44" spans="1:122" x14ac:dyDescent="0.25">
      <c r="A44" s="76">
        <v>252</v>
      </c>
      <c r="B44" s="76" t="s">
        <v>182</v>
      </c>
      <c r="C44" s="77" t="s">
        <v>135</v>
      </c>
      <c r="D44" s="41">
        <v>2</v>
      </c>
      <c r="E44" s="78">
        <v>371</v>
      </c>
      <c r="F44" s="78">
        <v>40</v>
      </c>
      <c r="G44" s="115">
        <f>'[8]FY20 Initial Budget Allocat (2)'!G44/'FY20 Initial Budget Allocat FTE'!G$121</f>
        <v>1</v>
      </c>
      <c r="H44" s="115">
        <f>'[8]FY20 Initial Budget Allocat (2)'!H44/'FY20 Initial Budget Allocat FTE'!H$121</f>
        <v>1</v>
      </c>
      <c r="I44" s="115">
        <f>'[8]FY20 Initial Budget Allocat (2)'!I44/'FY20 Initial Budget Allocat FTE'!I$121</f>
        <v>0.9</v>
      </c>
      <c r="J44" s="115">
        <f>'[8]FY20 Initial Budget Allocat (2)'!J44/'FY20 Initial Budget Allocat FTE'!J$121</f>
        <v>0</v>
      </c>
      <c r="K44" s="115">
        <f>'[8]FY20 Initial Budget Allocat (2)'!K44/'FY20 Initial Budget Allocat FTE'!K$121</f>
        <v>0</v>
      </c>
      <c r="L44" s="115">
        <f>'[8]FY20 Initial Budget Allocat (2)'!L44/'FY20 Initial Budget Allocat FTE'!L$121</f>
        <v>1</v>
      </c>
      <c r="M44" s="115">
        <f>'[8]FY20 Initial Budget Allocat (2)'!M44/'FY20 Initial Budget Allocat FTE'!M$121</f>
        <v>1</v>
      </c>
      <c r="N44" s="115">
        <f>'[8]FY20 Initial Budget Allocat (2)'!N44/'FY20 Initial Budget Allocat FTE'!N$121</f>
        <v>0</v>
      </c>
      <c r="O44" s="115">
        <f>'[8]FY20 Initial Budget Allocat (2)'!O44/'FY20 Initial Budget Allocat FTE'!O$121</f>
        <v>0</v>
      </c>
      <c r="P44" s="115">
        <f>'[8]FY20 Initial Budget Allocat (2)'!P44/'FY20 Initial Budget Allocat FTE'!P$121</f>
        <v>0</v>
      </c>
      <c r="Q44" s="115">
        <f>'[8]FY20 Initial Budget Allocat (2)'!Q44/'FY20 Initial Budget Allocat FTE'!Q$121</f>
        <v>0</v>
      </c>
      <c r="R44" s="115">
        <f>'[8]FY20 Initial Budget Allocat (2)'!R44/'FY20 Initial Budget Allocat FTE'!R$121</f>
        <v>1</v>
      </c>
      <c r="S44" s="115">
        <f>'[8]FY20 Initial Budget Allocat (2)'!S44/'FY20 Initial Budget Allocat FTE'!S$121</f>
        <v>1</v>
      </c>
      <c r="T44" s="115">
        <f>'[8]FY20 Initial Budget Allocat (2)'!T44/'FY20 Initial Budget Allocat FTE'!T$121</f>
        <v>2</v>
      </c>
      <c r="U44" s="115">
        <f>'[8]FY20 Initial Budget Allocat (2)'!U44/'FY20 Initial Budget Allocat FTE'!U$121</f>
        <v>1</v>
      </c>
      <c r="V44" s="115">
        <f>'[8]FY20 Initial Budget Allocat (2)'!V44/'FY20 Initial Budget Allocat FTE'!V$121</f>
        <v>1</v>
      </c>
      <c r="W44" s="115">
        <f>'[8]FY20 Initial Budget Allocat (2)'!W44/'FY20 Initial Budget Allocat FTE'!W$121</f>
        <v>1</v>
      </c>
      <c r="X44" s="115">
        <f>'[8]FY20 Initial Budget Allocat (2)'!X44/'FY20 Initial Budget Allocat FTE'!X$121</f>
        <v>1</v>
      </c>
      <c r="Y44" s="115">
        <f>'[8]FY20 Initial Budget Allocat (2)'!Y44/'FY20 Initial Budget Allocat FTE'!Y$121</f>
        <v>0</v>
      </c>
      <c r="Z44" s="115">
        <f>'[8]FY20 Initial Budget Allocat (2)'!Z44/'FY20 Initial Budget Allocat FTE'!Z$121</f>
        <v>0</v>
      </c>
      <c r="AA44" s="115">
        <f>'[8]FY20 Initial Budget Allocat (2)'!AA44/'FY20 Initial Budget Allocat FTE'!AA$121</f>
        <v>1</v>
      </c>
      <c r="AB44" s="115">
        <f>'[8]FY20 Initial Budget Allocat (2)'!AB44/'FY20 Initial Budget Allocat FTE'!AB$121</f>
        <v>1</v>
      </c>
      <c r="AC44" s="115">
        <f>'[8]FY20 Initial Budget Allocat (2)'!AC44/'FY20 Initial Budget Allocat FTE'!AC$121</f>
        <v>0</v>
      </c>
      <c r="AD44" s="115">
        <f>'[8]FY20 Initial Budget Allocat (2)'!AD44/'FY20 Initial Budget Allocat FTE'!AD$121</f>
        <v>0</v>
      </c>
      <c r="AE44" s="115">
        <f>'[8]FY20 Initial Budget Allocat (2)'!AE44/'FY20 Initial Budget Allocat FTE'!AE$121</f>
        <v>2</v>
      </c>
      <c r="AF44" s="115">
        <f>'[8]FY20 Initial Budget Allocat (2)'!AF44/'FY20 Initial Budget Allocat FTE'!AF$121</f>
        <v>2</v>
      </c>
      <c r="AG44" s="115">
        <f>'[8]FY20 Initial Budget Allocat (2)'!AG44/'FY20 Initial Budget Allocat FTE'!AG$121</f>
        <v>3.0000000000000004</v>
      </c>
      <c r="AH44" s="115">
        <f>'[8]FY20 Initial Budget Allocat (2)'!AH44/'FY20 Initial Budget Allocat FTE'!AH$121</f>
        <v>3</v>
      </c>
      <c r="AI44" s="115">
        <f>'[8]FY20 Initial Budget Allocat (2)'!AI44/'FY20 Initial Budget Allocat FTE'!AI$121</f>
        <v>3.0000000000000004</v>
      </c>
      <c r="AJ44" s="115">
        <f>'[8]FY20 Initial Budget Allocat (2)'!AJ44/'FY20 Initial Budget Allocat FTE'!AJ$121</f>
        <v>3.0000000000000004</v>
      </c>
      <c r="AK44" s="115">
        <f>'[8]FY20 Initial Budget Allocat (2)'!AK44/'FY20 Initial Budget Allocat FTE'!AK$121</f>
        <v>2</v>
      </c>
      <c r="AL44" s="115">
        <f>'[8]FY20 Initial Budget Allocat (2)'!AL44/'FY20 Initial Budget Allocat FTE'!AL$121</f>
        <v>2</v>
      </c>
      <c r="AM44" s="115">
        <f>'[8]FY20 Initial Budget Allocat (2)'!AM44/'FY20 Initial Budget Allocat FTE'!AM$121</f>
        <v>2</v>
      </c>
      <c r="AN44" s="115">
        <f>'[8]FY20 Initial Budget Allocat (2)'!AN44/'FY20 Initial Budget Allocat FTE'!AN$121</f>
        <v>0</v>
      </c>
      <c r="AO44" s="115">
        <f>'[8]FY20 Initial Budget Allocat (2)'!AO44/'FY20 Initial Budget Allocat FTE'!AO$121</f>
        <v>0</v>
      </c>
      <c r="AP44" s="115">
        <f>'[8]FY20 Initial Budget Allocat (2)'!AP44/'FY20 Initial Budget Allocat FTE'!AP$121</f>
        <v>0</v>
      </c>
      <c r="AQ44" s="115">
        <f>'[8]FY20 Initial Budget Allocat (2)'!AQ44/'FY20 Initial Budget Allocat FTE'!AQ$121</f>
        <v>0</v>
      </c>
      <c r="AR44" s="115">
        <f>'[8]FY20 Initial Budget Allocat (2)'!AR44/'FY20 Initial Budget Allocat FTE'!AR$121</f>
        <v>0</v>
      </c>
      <c r="AS44" s="115">
        <f>'[8]FY20 Initial Budget Allocat (2)'!AS44/'FY20 Initial Budget Allocat FTE'!AS$121</f>
        <v>0</v>
      </c>
      <c r="AT44" s="115">
        <f>'[8]FY20 Initial Budget Allocat (2)'!AT44/'FY20 Initial Budget Allocat FTE'!AT$121</f>
        <v>0</v>
      </c>
      <c r="AU44" s="115">
        <f>'[8]FY20 Initial Budget Allocat (2)'!AU44/'FY20 Initial Budget Allocat FTE'!AU$121</f>
        <v>0</v>
      </c>
      <c r="AV44" s="115">
        <f>'[8]FY20 Initial Budget Allocat (2)'!AV44/'FY20 Initial Budget Allocat FTE'!AV$121</f>
        <v>0</v>
      </c>
      <c r="AW44" s="115">
        <f>'[8]FY20 Initial Budget Allocat (2)'!AW44/'FY20 Initial Budget Allocat FTE'!AW$121</f>
        <v>0</v>
      </c>
      <c r="AX44" s="115">
        <f>'[8]FY20 Initial Budget Allocat (2)'!AX44/'FY20 Initial Budget Allocat FTE'!AX$121</f>
        <v>0.5</v>
      </c>
      <c r="AY44" s="115">
        <f>'[8]FY20 Initial Budget Allocat (2)'!AY44/'FY20 Initial Budget Allocat FTE'!AY$121</f>
        <v>1</v>
      </c>
      <c r="AZ44" s="115">
        <f>'[8]FY20 Initial Budget Allocat (2)'!AZ44/'FY20 Initial Budget Allocat FTE'!AZ$121</f>
        <v>2</v>
      </c>
      <c r="BA44" s="115">
        <f>'[8]FY20 Initial Budget Allocat (2)'!BA44/'FY20 Initial Budget Allocat FTE'!BA$121</f>
        <v>0</v>
      </c>
      <c r="BB44" s="115">
        <f>'[8]FY20 Initial Budget Allocat (2)'!BB44/'FY20 Initial Budget Allocat FTE'!BB$121</f>
        <v>0</v>
      </c>
      <c r="BC44" s="115">
        <f>'[8]FY20 Initial Budget Allocat (2)'!BC44/'FY20 Initial Budget Allocat FTE'!BC$121</f>
        <v>0</v>
      </c>
      <c r="BD44" s="115">
        <f>'[8]FY20 Initial Budget Allocat (2)'!BD44/'FY20 Initial Budget Allocat FTE'!BD$121</f>
        <v>2</v>
      </c>
      <c r="BE44" s="115">
        <f>'[8]FY20 Initial Budget Allocat (2)'!BE44/'FY20 Initial Budget Allocat FTE'!BE$121</f>
        <v>0</v>
      </c>
      <c r="BF44" s="115">
        <f>'[8]FY20 Initial Budget Allocat (2)'!BF44/'FY20 Initial Budget Allocat FTE'!BF$121</f>
        <v>0</v>
      </c>
      <c r="BG44" s="115">
        <f>'[8]FY20 Initial Budget Allocat (2)'!BG44/'FY20 Initial Budget Allocat FTE'!BG$121</f>
        <v>0</v>
      </c>
      <c r="BH44" s="115">
        <f>'[8]FY20 Initial Budget Allocat (2)'!BH44/'FY20 Initial Budget Allocat FTE'!BH$121</f>
        <v>0</v>
      </c>
      <c r="BI44" s="115">
        <f>'[8]FY20 Initial Budget Allocat (2)'!BI44/'FY20 Initial Budget Allocat FTE'!BI$121</f>
        <v>0</v>
      </c>
      <c r="BJ44" s="79"/>
      <c r="BK44" s="79">
        <v>0</v>
      </c>
      <c r="BL44" s="79"/>
      <c r="BM44" s="79">
        <v>0</v>
      </c>
      <c r="BN44" s="79">
        <v>0</v>
      </c>
      <c r="BO44" s="79">
        <v>8000</v>
      </c>
      <c r="BP44" s="115">
        <f>'[8]FY20 Initial Budget Allocat (2)'!BP44/'FY20 Initial Budget Allocat FTE'!BP$121</f>
        <v>0</v>
      </c>
      <c r="BQ44" s="115">
        <f>'[8]FY20 Initial Budget Allocat (2)'!BQ44/'FY20 Initial Budget Allocat FTE'!BQ$121</f>
        <v>0</v>
      </c>
      <c r="BR44" s="115">
        <f>'[8]FY20 Initial Budget Allocat (2)'!BR44/'FY20 Initial Budget Allocat FTE'!BR$121</f>
        <v>0</v>
      </c>
      <c r="BS44" s="115">
        <f>'[8]FY20 Initial Budget Allocat (2)'!BS44/'FY20 Initial Budget Allocat FTE'!BS$121</f>
        <v>0</v>
      </c>
      <c r="BT44" s="115">
        <f>'[8]FY20 Initial Budget Allocat (2)'!BT44/'FY20 Initial Budget Allocat FTE'!BT$121</f>
        <v>0</v>
      </c>
      <c r="BU44" s="115">
        <f>'[8]FY20 Initial Budget Allocat (2)'!BU44/'FY20 Initial Budget Allocat FTE'!BU$121</f>
        <v>0</v>
      </c>
      <c r="BV44" s="115">
        <f>'[8]FY20 Initial Budget Allocat (2)'!BV44/'FY20 Initial Budget Allocat FTE'!BV$121</f>
        <v>0</v>
      </c>
      <c r="BW44" s="80">
        <v>0</v>
      </c>
      <c r="BX44" s="80">
        <v>0</v>
      </c>
      <c r="BY44" s="80">
        <v>0</v>
      </c>
      <c r="BZ44" s="80">
        <v>0</v>
      </c>
      <c r="CA44" s="115">
        <f>'[8]FY20 Initial Budget Allocat (2)'!CA44/'FY20 Initial Budget Allocat FTE'!CA$121</f>
        <v>0</v>
      </c>
      <c r="CB44" s="115">
        <f>'[8]FY20 Initial Budget Allocat (2)'!CB44/'FY20 Initial Budget Allocat FTE'!CB$121</f>
        <v>0</v>
      </c>
      <c r="CC44" s="80">
        <v>0</v>
      </c>
      <c r="CD44" s="115">
        <f>'[8]FY20 Initial Budget Allocat (2)'!CD44/'FY20 Initial Budget Allocat FTE'!CD$121</f>
        <v>0</v>
      </c>
      <c r="CE44" s="115">
        <f>'[8]FY20 Initial Budget Allocat (2)'!CE44/'FY20 Initial Budget Allocat FTE'!CE$121</f>
        <v>0</v>
      </c>
      <c r="CF44" s="115">
        <f>'[8]FY20 Initial Budget Allocat (2)'!CF44/'FY20 Initial Budget Allocat FTE'!CF$121</f>
        <v>0</v>
      </c>
      <c r="CG44" s="115">
        <f>'[8]FY20 Initial Budget Allocat (2)'!CG44/'FY20 Initial Budget Allocat FTE'!CG$121</f>
        <v>0</v>
      </c>
      <c r="CH44" s="115">
        <f>'[8]FY20 Initial Budget Allocat (2)'!CH44/'FY20 Initial Budget Allocat FTE'!CH$121</f>
        <v>0</v>
      </c>
      <c r="CI44" s="115">
        <f>'[8]FY20 Initial Budget Allocat (2)'!CI44/'FY20 Initial Budget Allocat FTE'!CI$121</f>
        <v>0</v>
      </c>
      <c r="CJ44" s="115">
        <f>'[8]FY20 Initial Budget Allocat (2)'!CJ44/'FY20 Initial Budget Allocat FTE'!CJ$121</f>
        <v>0</v>
      </c>
      <c r="CK44" s="79">
        <v>0</v>
      </c>
      <c r="CL44" s="79">
        <v>0</v>
      </c>
      <c r="CM44" s="79">
        <v>108165.6</v>
      </c>
      <c r="CN44" s="79">
        <v>0</v>
      </c>
      <c r="CO44" s="115">
        <f>'[8]FY20 Initial Budget Allocat (2)'!CO44/'FY20 Initial Budget Allocat FTE'!CO$121</f>
        <v>0</v>
      </c>
      <c r="CP44" s="79">
        <v>0</v>
      </c>
      <c r="CQ44" s="79">
        <v>0</v>
      </c>
      <c r="CR44" s="79">
        <v>0</v>
      </c>
      <c r="CS44" s="79">
        <v>18883.055555555555</v>
      </c>
      <c r="CT44" s="115">
        <f>'[8]FY20 Initial Budget Allocat (2)'!CT44/'FY20 Initial Budget Allocat FTE'!CT$121</f>
        <v>0</v>
      </c>
      <c r="CU44" s="115">
        <f>'[8]FY20 Initial Budget Allocat (2)'!CU44/'FY20 Initial Budget Allocat FTE'!CU$121</f>
        <v>0</v>
      </c>
      <c r="CV44" s="79"/>
      <c r="CW44" s="79">
        <v>0</v>
      </c>
      <c r="CX44" s="115">
        <f>'[8]FY20 Initial Budget Allocat (2)'!CX44/'FY20 Initial Budget Allocat FTE'!CX$121</f>
        <v>0</v>
      </c>
      <c r="CY44" s="79">
        <v>0</v>
      </c>
      <c r="CZ44" s="79">
        <v>0</v>
      </c>
      <c r="DA44" s="79">
        <v>37100</v>
      </c>
      <c r="DB44" s="79">
        <v>64054.254782614007</v>
      </c>
      <c r="DC44" s="82">
        <v>0</v>
      </c>
      <c r="DD44" s="79">
        <v>0</v>
      </c>
      <c r="DE44" s="79"/>
      <c r="DF44" s="79">
        <v>1950</v>
      </c>
      <c r="DG44" s="79">
        <v>0</v>
      </c>
      <c r="DH44" s="83">
        <v>0</v>
      </c>
      <c r="DI44" s="79">
        <v>11365.709035351583</v>
      </c>
      <c r="DJ44" s="79">
        <v>4216678.0521154366</v>
      </c>
      <c r="DK44" s="84">
        <v>109113.94788456336</v>
      </c>
      <c r="DL44" s="84">
        <v>0</v>
      </c>
      <c r="DM44" s="84">
        <f t="shared" si="0"/>
        <v>4325792</v>
      </c>
      <c r="DN44" s="116">
        <f t="shared" si="1"/>
        <v>6</v>
      </c>
      <c r="DO44" s="116">
        <f t="shared" si="2"/>
        <v>6</v>
      </c>
      <c r="DP44" s="116">
        <f t="shared" si="3"/>
        <v>12</v>
      </c>
      <c r="DQ44" s="116">
        <f t="shared" si="4"/>
        <v>5.5</v>
      </c>
      <c r="DR44" s="116">
        <f t="shared" si="5"/>
        <v>0</v>
      </c>
    </row>
    <row r="45" spans="1:122" ht="35.25" customHeight="1" x14ac:dyDescent="0.25">
      <c r="A45" s="76">
        <v>950</v>
      </c>
      <c r="B45" s="76" t="s">
        <v>183</v>
      </c>
      <c r="C45" s="77" t="s">
        <v>184</v>
      </c>
      <c r="D45" s="41">
        <v>7</v>
      </c>
      <c r="E45" s="78">
        <v>32</v>
      </c>
      <c r="F45" s="78">
        <v>0</v>
      </c>
      <c r="G45" s="115">
        <f>'[8]FY20 Initial Budget Allocat (2)'!G45/'FY20 Initial Budget Allocat FTE'!G$121</f>
        <v>0</v>
      </c>
      <c r="H45" s="115">
        <f>'[8]FY20 Initial Budget Allocat (2)'!H45/'FY20 Initial Budget Allocat FTE'!H$121</f>
        <v>0.5</v>
      </c>
      <c r="I45" s="115">
        <f>'[8]FY20 Initial Budget Allocat (2)'!I45/'FY20 Initial Budget Allocat FTE'!I$121</f>
        <v>0</v>
      </c>
      <c r="J45" s="115">
        <f>'[8]FY20 Initial Budget Allocat (2)'!J45/'FY20 Initial Budget Allocat FTE'!J$121</f>
        <v>0</v>
      </c>
      <c r="K45" s="115">
        <f>'[8]FY20 Initial Budget Allocat (2)'!K45/'FY20 Initial Budget Allocat FTE'!K$121</f>
        <v>0</v>
      </c>
      <c r="L45" s="115">
        <f>'[8]FY20 Initial Budget Allocat (2)'!L45/'FY20 Initial Budget Allocat FTE'!L$121</f>
        <v>0.5</v>
      </c>
      <c r="M45" s="115">
        <f>'[8]FY20 Initial Budget Allocat (2)'!M45/'FY20 Initial Budget Allocat FTE'!M$121</f>
        <v>1</v>
      </c>
      <c r="N45" s="115">
        <f>'[8]FY20 Initial Budget Allocat (2)'!N45/'FY20 Initial Budget Allocat FTE'!N$121</f>
        <v>0</v>
      </c>
      <c r="O45" s="115">
        <f>'[8]FY20 Initial Budget Allocat (2)'!O45/'FY20 Initial Budget Allocat FTE'!O$121</f>
        <v>0</v>
      </c>
      <c r="P45" s="115">
        <f>'[8]FY20 Initial Budget Allocat (2)'!P45/'FY20 Initial Budget Allocat FTE'!P$121</f>
        <v>0</v>
      </c>
      <c r="Q45" s="115">
        <f>'[8]FY20 Initial Budget Allocat (2)'!Q45/'FY20 Initial Budget Allocat FTE'!Q$121</f>
        <v>0</v>
      </c>
      <c r="R45" s="115">
        <f>'[8]FY20 Initial Budget Allocat (2)'!R45/'FY20 Initial Budget Allocat FTE'!R$121</f>
        <v>0</v>
      </c>
      <c r="S45" s="115">
        <f>'[8]FY20 Initial Budget Allocat (2)'!S45/'FY20 Initial Budget Allocat FTE'!S$121</f>
        <v>0</v>
      </c>
      <c r="T45" s="115">
        <f>'[8]FY20 Initial Budget Allocat (2)'!T45/'FY20 Initial Budget Allocat FTE'!T$121</f>
        <v>0</v>
      </c>
      <c r="U45" s="115">
        <f>'[8]FY20 Initial Budget Allocat (2)'!U45/'FY20 Initial Budget Allocat FTE'!U$121</f>
        <v>0.5</v>
      </c>
      <c r="V45" s="115">
        <f>'[8]FY20 Initial Budget Allocat (2)'!V45/'FY20 Initial Budget Allocat FTE'!V$121</f>
        <v>0</v>
      </c>
      <c r="W45" s="115">
        <f>'[8]FY20 Initial Budget Allocat (2)'!W45/'FY20 Initial Budget Allocat FTE'!W$121</f>
        <v>0</v>
      </c>
      <c r="X45" s="115">
        <f>'[8]FY20 Initial Budget Allocat (2)'!X45/'FY20 Initial Budget Allocat FTE'!X$121</f>
        <v>0</v>
      </c>
      <c r="Y45" s="115">
        <f>'[8]FY20 Initial Budget Allocat (2)'!Y45/'FY20 Initial Budget Allocat FTE'!Y$121</f>
        <v>0.5</v>
      </c>
      <c r="Z45" s="115">
        <f>'[8]FY20 Initial Budget Allocat (2)'!Z45/'FY20 Initial Budget Allocat FTE'!Z$121</f>
        <v>0</v>
      </c>
      <c r="AA45" s="115">
        <f>'[8]FY20 Initial Budget Allocat (2)'!AA45/'FY20 Initial Budget Allocat FTE'!AA$121</f>
        <v>0</v>
      </c>
      <c r="AB45" s="115">
        <f>'[8]FY20 Initial Budget Allocat (2)'!AB45/'FY20 Initial Budget Allocat FTE'!AB$121</f>
        <v>0</v>
      </c>
      <c r="AC45" s="115">
        <f>'[8]FY20 Initial Budget Allocat (2)'!AC45/'FY20 Initial Budget Allocat FTE'!AC$121</f>
        <v>0</v>
      </c>
      <c r="AD45" s="115">
        <f>'[8]FY20 Initial Budget Allocat (2)'!AD45/'FY20 Initial Budget Allocat FTE'!AD$121</f>
        <v>0</v>
      </c>
      <c r="AE45" s="115">
        <f>'[8]FY20 Initial Budget Allocat (2)'!AE45/'FY20 Initial Budget Allocat FTE'!AE$121</f>
        <v>0</v>
      </c>
      <c r="AF45" s="115">
        <f>'[8]FY20 Initial Budget Allocat (2)'!AF45/'FY20 Initial Budget Allocat FTE'!AF$121</f>
        <v>0</v>
      </c>
      <c r="AG45" s="115">
        <f>'[8]FY20 Initial Budget Allocat (2)'!AG45/'FY20 Initial Budget Allocat FTE'!AG$121</f>
        <v>0</v>
      </c>
      <c r="AH45" s="115">
        <f>'[8]FY20 Initial Budget Allocat (2)'!AH45/'FY20 Initial Budget Allocat FTE'!AH$121</f>
        <v>0</v>
      </c>
      <c r="AI45" s="115">
        <f>'[8]FY20 Initial Budget Allocat (2)'!AI45/'FY20 Initial Budget Allocat FTE'!AI$121</f>
        <v>0</v>
      </c>
      <c r="AJ45" s="115">
        <f>'[8]FY20 Initial Budget Allocat (2)'!AJ45/'FY20 Initial Budget Allocat FTE'!AJ$121</f>
        <v>0</v>
      </c>
      <c r="AK45" s="115">
        <f>'[8]FY20 Initial Budget Allocat (2)'!AK45/'FY20 Initial Budget Allocat FTE'!AK$121</f>
        <v>0</v>
      </c>
      <c r="AL45" s="115">
        <f>'[8]FY20 Initial Budget Allocat (2)'!AL45/'FY20 Initial Budget Allocat FTE'!AL$121</f>
        <v>0</v>
      </c>
      <c r="AM45" s="115">
        <f>'[8]FY20 Initial Budget Allocat (2)'!AM45/'FY20 Initial Budget Allocat FTE'!AM$121</f>
        <v>0</v>
      </c>
      <c r="AN45" s="115">
        <f>'[8]FY20 Initial Budget Allocat (2)'!AN45/'FY20 Initial Budget Allocat FTE'!AN$121</f>
        <v>0</v>
      </c>
      <c r="AO45" s="115">
        <f>'[8]FY20 Initial Budget Allocat (2)'!AO45/'FY20 Initial Budget Allocat FTE'!AO$121</f>
        <v>0</v>
      </c>
      <c r="AP45" s="115">
        <f>'[8]FY20 Initial Budget Allocat (2)'!AP45/'FY20 Initial Budget Allocat FTE'!AP$121</f>
        <v>0</v>
      </c>
      <c r="AQ45" s="115">
        <f>'[8]FY20 Initial Budget Allocat (2)'!AQ45/'FY20 Initial Budget Allocat FTE'!AQ$121</f>
        <v>0.5</v>
      </c>
      <c r="AR45" s="115">
        <f>'[8]FY20 Initial Budget Allocat (2)'!AR45/'FY20 Initial Budget Allocat FTE'!AR$121</f>
        <v>0.3</v>
      </c>
      <c r="AS45" s="115">
        <f>'[8]FY20 Initial Budget Allocat (2)'!AS45/'FY20 Initial Budget Allocat FTE'!AS$121</f>
        <v>0.3</v>
      </c>
      <c r="AT45" s="115">
        <f>'[8]FY20 Initial Budget Allocat (2)'!AT45/'FY20 Initial Budget Allocat FTE'!AT$121</f>
        <v>0.3</v>
      </c>
      <c r="AU45" s="115">
        <f>'[8]FY20 Initial Budget Allocat (2)'!AU45/'FY20 Initial Budget Allocat FTE'!AU$121</f>
        <v>0</v>
      </c>
      <c r="AV45" s="115">
        <f>'[8]FY20 Initial Budget Allocat (2)'!AV45/'FY20 Initial Budget Allocat FTE'!AV$121</f>
        <v>0</v>
      </c>
      <c r="AW45" s="115">
        <f>'[8]FY20 Initial Budget Allocat (2)'!AW45/'FY20 Initial Budget Allocat FTE'!AW$121</f>
        <v>0</v>
      </c>
      <c r="AX45" s="115">
        <f>'[8]FY20 Initial Budget Allocat (2)'!AX45/'FY20 Initial Budget Allocat FTE'!AX$121</f>
        <v>0.5</v>
      </c>
      <c r="AY45" s="115">
        <f>'[8]FY20 Initial Budget Allocat (2)'!AY45/'FY20 Initial Budget Allocat FTE'!AY$121</f>
        <v>1</v>
      </c>
      <c r="AZ45" s="115">
        <f>'[8]FY20 Initial Budget Allocat (2)'!AZ45/'FY20 Initial Budget Allocat FTE'!AZ$121</f>
        <v>4</v>
      </c>
      <c r="BA45" s="115">
        <f>'[8]FY20 Initial Budget Allocat (2)'!BA45/'FY20 Initial Budget Allocat FTE'!BA$121</f>
        <v>0</v>
      </c>
      <c r="BB45" s="115">
        <f>'[8]FY20 Initial Budget Allocat (2)'!BB45/'FY20 Initial Budget Allocat FTE'!BB$121</f>
        <v>0</v>
      </c>
      <c r="BC45" s="115">
        <f>'[8]FY20 Initial Budget Allocat (2)'!BC45/'FY20 Initial Budget Allocat FTE'!BC$121</f>
        <v>0</v>
      </c>
      <c r="BD45" s="115">
        <f>'[8]FY20 Initial Budget Allocat (2)'!BD45/'FY20 Initial Budget Allocat FTE'!BD$121</f>
        <v>9.0909090909090912E-2</v>
      </c>
      <c r="BE45" s="115">
        <f>'[8]FY20 Initial Budget Allocat (2)'!BE45/'FY20 Initial Budget Allocat FTE'!BE$121</f>
        <v>0</v>
      </c>
      <c r="BF45" s="115">
        <f>'[8]FY20 Initial Budget Allocat (2)'!BF45/'FY20 Initial Budget Allocat FTE'!BF$121</f>
        <v>0</v>
      </c>
      <c r="BG45" s="115">
        <f>'[8]FY20 Initial Budget Allocat (2)'!BG45/'FY20 Initial Budget Allocat FTE'!BG$121</f>
        <v>0</v>
      </c>
      <c r="BH45" s="115">
        <f>'[8]FY20 Initial Budget Allocat (2)'!BH45/'FY20 Initial Budget Allocat FTE'!BH$121</f>
        <v>0</v>
      </c>
      <c r="BI45" s="115">
        <f>'[8]FY20 Initial Budget Allocat (2)'!BI45/'FY20 Initial Budget Allocat FTE'!BI$121</f>
        <v>0</v>
      </c>
      <c r="BJ45" s="79">
        <v>20000</v>
      </c>
      <c r="BK45" s="79">
        <v>0</v>
      </c>
      <c r="BL45" s="79"/>
      <c r="BM45" s="79">
        <v>0</v>
      </c>
      <c r="BN45" s="79">
        <v>0</v>
      </c>
      <c r="BO45" s="79">
        <v>1000</v>
      </c>
      <c r="BP45" s="115">
        <f>'[8]FY20 Initial Budget Allocat (2)'!BP45/'FY20 Initial Budget Allocat FTE'!BP$121</f>
        <v>0</v>
      </c>
      <c r="BQ45" s="115">
        <f>'[8]FY20 Initial Budget Allocat (2)'!BQ45/'FY20 Initial Budget Allocat FTE'!BQ$121</f>
        <v>0</v>
      </c>
      <c r="BR45" s="115">
        <f>'[8]FY20 Initial Budget Allocat (2)'!BR45/'FY20 Initial Budget Allocat FTE'!BR$121</f>
        <v>0</v>
      </c>
      <c r="BS45" s="115">
        <f>'[8]FY20 Initial Budget Allocat (2)'!BS45/'FY20 Initial Budget Allocat FTE'!BS$121</f>
        <v>0</v>
      </c>
      <c r="BT45" s="115">
        <f>'[8]FY20 Initial Budget Allocat (2)'!BT45/'FY20 Initial Budget Allocat FTE'!BT$121</f>
        <v>0</v>
      </c>
      <c r="BU45" s="115">
        <f>'[8]FY20 Initial Budget Allocat (2)'!BU45/'FY20 Initial Budget Allocat FTE'!BU$121</f>
        <v>0</v>
      </c>
      <c r="BV45" s="115">
        <f>'[8]FY20 Initial Budget Allocat (2)'!BV45/'FY20 Initial Budget Allocat FTE'!BV$121</f>
        <v>0</v>
      </c>
      <c r="BW45" s="80">
        <v>0</v>
      </c>
      <c r="BX45" s="80">
        <v>0</v>
      </c>
      <c r="BY45" s="80">
        <v>0</v>
      </c>
      <c r="BZ45" s="80">
        <v>0</v>
      </c>
      <c r="CA45" s="115">
        <f>'[8]FY20 Initial Budget Allocat (2)'!CA45/'FY20 Initial Budget Allocat FTE'!CA$121</f>
        <v>0</v>
      </c>
      <c r="CB45" s="115">
        <f>'[8]FY20 Initial Budget Allocat (2)'!CB45/'FY20 Initial Budget Allocat FTE'!CB$121</f>
        <v>0</v>
      </c>
      <c r="CC45" s="80">
        <v>0</v>
      </c>
      <c r="CD45" s="115">
        <f>'[8]FY20 Initial Budget Allocat (2)'!CD45/'FY20 Initial Budget Allocat FTE'!CD$121</f>
        <v>0</v>
      </c>
      <c r="CE45" s="115">
        <f>'[8]FY20 Initial Budget Allocat (2)'!CE45/'FY20 Initial Budget Allocat FTE'!CE$121</f>
        <v>0</v>
      </c>
      <c r="CF45" s="115">
        <f>'[8]FY20 Initial Budget Allocat (2)'!CF45/'FY20 Initial Budget Allocat FTE'!CF$121</f>
        <v>0</v>
      </c>
      <c r="CG45" s="115">
        <f>'[8]FY20 Initial Budget Allocat (2)'!CG45/'FY20 Initial Budget Allocat FTE'!CG$121</f>
        <v>0</v>
      </c>
      <c r="CH45" s="115">
        <f>'[8]FY20 Initial Budget Allocat (2)'!CH45/'FY20 Initial Budget Allocat FTE'!CH$121</f>
        <v>0</v>
      </c>
      <c r="CI45" s="115">
        <f>'[8]FY20 Initial Budget Allocat (2)'!CI45/'FY20 Initial Budget Allocat FTE'!CI$121</f>
        <v>0</v>
      </c>
      <c r="CJ45" s="115">
        <f>'[8]FY20 Initial Budget Allocat (2)'!CJ45/'FY20 Initial Budget Allocat FTE'!CJ$121</f>
        <v>0</v>
      </c>
      <c r="CK45" s="79">
        <v>0</v>
      </c>
      <c r="CL45" s="79">
        <v>0</v>
      </c>
      <c r="CM45" s="79">
        <v>0</v>
      </c>
      <c r="CN45" s="79">
        <v>0</v>
      </c>
      <c r="CO45" s="115">
        <f>'[8]FY20 Initial Budget Allocat (2)'!CO45/'FY20 Initial Budget Allocat FTE'!CO$121</f>
        <v>0</v>
      </c>
      <c r="CP45" s="79">
        <v>0</v>
      </c>
      <c r="CQ45" s="79">
        <v>0</v>
      </c>
      <c r="CR45" s="79">
        <v>0</v>
      </c>
      <c r="CS45" s="79">
        <v>6195.2</v>
      </c>
      <c r="CT45" s="115">
        <f>'[8]FY20 Initial Budget Allocat (2)'!CT45/'FY20 Initial Budget Allocat FTE'!CT$121</f>
        <v>0</v>
      </c>
      <c r="CU45" s="115">
        <f>'[8]FY20 Initial Budget Allocat (2)'!CU45/'FY20 Initial Budget Allocat FTE'!CU$121</f>
        <v>0</v>
      </c>
      <c r="CV45" s="79"/>
      <c r="CW45" s="79">
        <v>0</v>
      </c>
      <c r="CX45" s="115">
        <f>'[8]FY20 Initial Budget Allocat (2)'!CX45/'FY20 Initial Budget Allocat FTE'!CX$121</f>
        <v>0</v>
      </c>
      <c r="CY45" s="79">
        <v>0</v>
      </c>
      <c r="CZ45" s="79">
        <v>0</v>
      </c>
      <c r="DA45" s="79">
        <v>3200</v>
      </c>
      <c r="DB45" s="79">
        <v>16528.062552503849</v>
      </c>
      <c r="DC45" s="82">
        <v>0</v>
      </c>
      <c r="DD45" s="79">
        <v>70880</v>
      </c>
      <c r="DE45" s="79">
        <v>1350</v>
      </c>
      <c r="DG45" s="79">
        <v>0</v>
      </c>
      <c r="DH45" s="83">
        <v>0</v>
      </c>
      <c r="DI45" s="79">
        <v>35804.406210402092</v>
      </c>
      <c r="DJ45" s="79">
        <v>1145740.9987328667</v>
      </c>
      <c r="DK45" s="84">
        <v>-45740.998732866719</v>
      </c>
      <c r="DL45" s="84">
        <v>26875.48</v>
      </c>
      <c r="DM45" s="84">
        <f t="shared" si="0"/>
        <v>1126875.48</v>
      </c>
      <c r="DN45" s="116">
        <f t="shared" si="1"/>
        <v>0</v>
      </c>
      <c r="DO45" s="116">
        <f t="shared" si="2"/>
        <v>0</v>
      </c>
      <c r="DP45" s="116">
        <f t="shared" si="3"/>
        <v>1.4000000000000001</v>
      </c>
      <c r="DQ45" s="116">
        <f t="shared" si="4"/>
        <v>5.5909090909090908</v>
      </c>
      <c r="DR45" s="116">
        <f t="shared" si="5"/>
        <v>0</v>
      </c>
    </row>
    <row r="46" spans="1:122" x14ac:dyDescent="0.25">
      <c r="A46" s="76">
        <v>339</v>
      </c>
      <c r="B46" s="76" t="s">
        <v>185</v>
      </c>
      <c r="C46" s="77" t="s">
        <v>135</v>
      </c>
      <c r="D46" s="41">
        <v>6</v>
      </c>
      <c r="E46" s="78">
        <v>469</v>
      </c>
      <c r="F46" s="78">
        <v>232.96062992125985</v>
      </c>
      <c r="G46" s="115">
        <f>'[8]FY20 Initial Budget Allocat (2)'!G46/'FY20 Initial Budget Allocat FTE'!G$121</f>
        <v>1</v>
      </c>
      <c r="H46" s="115">
        <f>'[8]FY20 Initial Budget Allocat (2)'!H46/'FY20 Initial Budget Allocat FTE'!H$121</f>
        <v>1</v>
      </c>
      <c r="I46" s="115">
        <f>'[8]FY20 Initial Budget Allocat (2)'!I46/'FY20 Initial Budget Allocat FTE'!I$121</f>
        <v>1.2</v>
      </c>
      <c r="J46" s="115">
        <f>'[8]FY20 Initial Budget Allocat (2)'!J46/'FY20 Initial Budget Allocat FTE'!J$121</f>
        <v>0</v>
      </c>
      <c r="K46" s="115">
        <f>'[8]FY20 Initial Budget Allocat (2)'!K46/'FY20 Initial Budget Allocat FTE'!K$121</f>
        <v>0</v>
      </c>
      <c r="L46" s="115">
        <f>'[8]FY20 Initial Budget Allocat (2)'!L46/'FY20 Initial Budget Allocat FTE'!L$121</f>
        <v>1</v>
      </c>
      <c r="M46" s="115">
        <f>'[8]FY20 Initial Budget Allocat (2)'!M46/'FY20 Initial Budget Allocat FTE'!M$121</f>
        <v>1</v>
      </c>
      <c r="N46" s="115">
        <f>'[8]FY20 Initial Budget Allocat (2)'!N46/'FY20 Initial Budget Allocat FTE'!N$121</f>
        <v>1.2</v>
      </c>
      <c r="O46" s="115">
        <f>'[8]FY20 Initial Budget Allocat (2)'!O46/'FY20 Initial Budget Allocat FTE'!O$121</f>
        <v>0</v>
      </c>
      <c r="P46" s="115">
        <f>'[8]FY20 Initial Budget Allocat (2)'!P46/'FY20 Initial Budget Allocat FTE'!P$121</f>
        <v>0</v>
      </c>
      <c r="Q46" s="115">
        <f>'[8]FY20 Initial Budget Allocat (2)'!Q46/'FY20 Initial Budget Allocat FTE'!Q$121</f>
        <v>0</v>
      </c>
      <c r="R46" s="115">
        <f>'[8]FY20 Initial Budget Allocat (2)'!R46/'FY20 Initial Budget Allocat FTE'!R$121</f>
        <v>1</v>
      </c>
      <c r="S46" s="115">
        <f>'[8]FY20 Initial Budget Allocat (2)'!S46/'FY20 Initial Budget Allocat FTE'!S$121</f>
        <v>1</v>
      </c>
      <c r="T46" s="115">
        <f>'[8]FY20 Initial Budget Allocat (2)'!T46/'FY20 Initial Budget Allocat FTE'!T$121</f>
        <v>2</v>
      </c>
      <c r="U46" s="115">
        <f>'[8]FY20 Initial Budget Allocat (2)'!U46/'FY20 Initial Budget Allocat FTE'!U$121</f>
        <v>1</v>
      </c>
      <c r="V46" s="115">
        <f>'[8]FY20 Initial Budget Allocat (2)'!V46/'FY20 Initial Budget Allocat FTE'!V$121</f>
        <v>1</v>
      </c>
      <c r="W46" s="115">
        <f>'[8]FY20 Initial Budget Allocat (2)'!W46/'FY20 Initial Budget Allocat FTE'!W$121</f>
        <v>1</v>
      </c>
      <c r="X46" s="115">
        <f>'[8]FY20 Initial Budget Allocat (2)'!X46/'FY20 Initial Budget Allocat FTE'!X$121</f>
        <v>1</v>
      </c>
      <c r="Y46" s="115">
        <f>'[8]FY20 Initial Budget Allocat (2)'!Y46/'FY20 Initial Budget Allocat FTE'!Y$121</f>
        <v>1.5000000000000002</v>
      </c>
      <c r="Z46" s="115">
        <f>'[8]FY20 Initial Budget Allocat (2)'!Z46/'FY20 Initial Budget Allocat FTE'!Z$121</f>
        <v>0</v>
      </c>
      <c r="AA46" s="115">
        <f>'[8]FY20 Initial Budget Allocat (2)'!AA46/'FY20 Initial Budget Allocat FTE'!AA$121</f>
        <v>3.0000000000000004</v>
      </c>
      <c r="AB46" s="115">
        <f>'[8]FY20 Initial Budget Allocat (2)'!AB46/'FY20 Initial Budget Allocat FTE'!AB$121</f>
        <v>3</v>
      </c>
      <c r="AC46" s="115">
        <f>'[8]FY20 Initial Budget Allocat (2)'!AC46/'FY20 Initial Budget Allocat FTE'!AC$121</f>
        <v>1</v>
      </c>
      <c r="AD46" s="115">
        <f>'[8]FY20 Initial Budget Allocat (2)'!AD46/'FY20 Initial Budget Allocat FTE'!AD$121</f>
        <v>2</v>
      </c>
      <c r="AE46" s="115">
        <f>'[8]FY20 Initial Budget Allocat (2)'!AE46/'FY20 Initial Budget Allocat FTE'!AE$121</f>
        <v>3.0000000000000004</v>
      </c>
      <c r="AF46" s="115">
        <f>'[8]FY20 Initial Budget Allocat (2)'!AF46/'FY20 Initial Budget Allocat FTE'!AF$121</f>
        <v>3</v>
      </c>
      <c r="AG46" s="115">
        <f>'[8]FY20 Initial Budget Allocat (2)'!AG46/'FY20 Initial Budget Allocat FTE'!AG$121</f>
        <v>4</v>
      </c>
      <c r="AH46" s="115">
        <f>'[8]FY20 Initial Budget Allocat (2)'!AH46/'FY20 Initial Budget Allocat FTE'!AH$121</f>
        <v>4</v>
      </c>
      <c r="AI46" s="115">
        <f>'[8]FY20 Initial Budget Allocat (2)'!AI46/'FY20 Initial Budget Allocat FTE'!AI$121</f>
        <v>3.0000000000000004</v>
      </c>
      <c r="AJ46" s="115">
        <f>'[8]FY20 Initial Budget Allocat (2)'!AJ46/'FY20 Initial Budget Allocat FTE'!AJ$121</f>
        <v>3.0000000000000004</v>
      </c>
      <c r="AK46" s="115">
        <f>'[8]FY20 Initial Budget Allocat (2)'!AK46/'FY20 Initial Budget Allocat FTE'!AK$121</f>
        <v>3.0000000000000004</v>
      </c>
      <c r="AL46" s="115">
        <f>'[8]FY20 Initial Budget Allocat (2)'!AL46/'FY20 Initial Budget Allocat FTE'!AL$121</f>
        <v>3.0000000000000004</v>
      </c>
      <c r="AM46" s="115">
        <f>'[8]FY20 Initial Budget Allocat (2)'!AM46/'FY20 Initial Budget Allocat FTE'!AM$121</f>
        <v>3.0000000000000004</v>
      </c>
      <c r="AN46" s="115">
        <f>'[8]FY20 Initial Budget Allocat (2)'!AN46/'FY20 Initial Budget Allocat FTE'!AN$121</f>
        <v>0</v>
      </c>
      <c r="AO46" s="115">
        <f>'[8]FY20 Initial Budget Allocat (2)'!AO46/'FY20 Initial Budget Allocat FTE'!AO$121</f>
        <v>0</v>
      </c>
      <c r="AP46" s="115">
        <f>'[8]FY20 Initial Budget Allocat (2)'!AP46/'FY20 Initial Budget Allocat FTE'!AP$121</f>
        <v>0</v>
      </c>
      <c r="AQ46" s="115">
        <f>'[8]FY20 Initial Budget Allocat (2)'!AQ46/'FY20 Initial Budget Allocat FTE'!AQ$121</f>
        <v>0</v>
      </c>
      <c r="AR46" s="115">
        <f>'[8]FY20 Initial Budget Allocat (2)'!AR46/'FY20 Initial Budget Allocat FTE'!AR$121</f>
        <v>0</v>
      </c>
      <c r="AS46" s="115">
        <f>'[8]FY20 Initial Budget Allocat (2)'!AS46/'FY20 Initial Budget Allocat FTE'!AS$121</f>
        <v>0</v>
      </c>
      <c r="AT46" s="115">
        <f>'[8]FY20 Initial Budget Allocat (2)'!AT46/'FY20 Initial Budget Allocat FTE'!AT$121</f>
        <v>0</v>
      </c>
      <c r="AU46" s="115">
        <f>'[8]FY20 Initial Budget Allocat (2)'!AU46/'FY20 Initial Budget Allocat FTE'!AU$121</f>
        <v>0</v>
      </c>
      <c r="AV46" s="115">
        <f>'[8]FY20 Initial Budget Allocat (2)'!AV46/'FY20 Initial Budget Allocat FTE'!AV$121</f>
        <v>0</v>
      </c>
      <c r="AW46" s="115">
        <f>'[8]FY20 Initial Budget Allocat (2)'!AW46/'FY20 Initial Budget Allocat FTE'!AW$121</f>
        <v>0</v>
      </c>
      <c r="AX46" s="115">
        <f>'[8]FY20 Initial Budget Allocat (2)'!AX46/'FY20 Initial Budget Allocat FTE'!AX$121</f>
        <v>1</v>
      </c>
      <c r="AY46" s="115">
        <f>'[8]FY20 Initial Budget Allocat (2)'!AY46/'FY20 Initial Budget Allocat FTE'!AY$121</f>
        <v>2</v>
      </c>
      <c r="AZ46" s="115">
        <f>'[8]FY20 Initial Budget Allocat (2)'!AZ46/'FY20 Initial Budget Allocat FTE'!AZ$121</f>
        <v>8</v>
      </c>
      <c r="BA46" s="115">
        <f>'[8]FY20 Initial Budget Allocat (2)'!BA46/'FY20 Initial Budget Allocat FTE'!BA$121</f>
        <v>3</v>
      </c>
      <c r="BB46" s="115">
        <f>'[8]FY20 Initial Budget Allocat (2)'!BB46/'FY20 Initial Budget Allocat FTE'!BB$121</f>
        <v>0</v>
      </c>
      <c r="BC46" s="115">
        <f>'[8]FY20 Initial Budget Allocat (2)'!BC46/'FY20 Initial Budget Allocat FTE'!BC$121</f>
        <v>0</v>
      </c>
      <c r="BD46" s="115">
        <f>'[8]FY20 Initial Budget Allocat (2)'!BD46/'FY20 Initial Budget Allocat FTE'!BD$121</f>
        <v>1</v>
      </c>
      <c r="BE46" s="115">
        <f>'[8]FY20 Initial Budget Allocat (2)'!BE46/'FY20 Initial Budget Allocat FTE'!BE$121</f>
        <v>0</v>
      </c>
      <c r="BF46" s="115">
        <f>'[8]FY20 Initial Budget Allocat (2)'!BF46/'FY20 Initial Budget Allocat FTE'!BF$121</f>
        <v>0</v>
      </c>
      <c r="BG46" s="115">
        <f>'[8]FY20 Initial Budget Allocat (2)'!BG46/'FY20 Initial Budget Allocat FTE'!BG$121</f>
        <v>1.1252589375208819</v>
      </c>
      <c r="BH46" s="115">
        <f>'[8]FY20 Initial Budget Allocat (2)'!BH46/'FY20 Initial Budget Allocat FTE'!BH$121</f>
        <v>5</v>
      </c>
      <c r="BI46" s="115">
        <f>'[8]FY20 Initial Budget Allocat (2)'!BI46/'FY20 Initial Budget Allocat FTE'!BI$121</f>
        <v>0</v>
      </c>
      <c r="BJ46" s="79"/>
      <c r="BK46" s="79">
        <v>0</v>
      </c>
      <c r="BL46" s="79">
        <v>23194.2</v>
      </c>
      <c r="BM46" s="79">
        <v>241973.07</v>
      </c>
      <c r="BN46" s="79">
        <v>3850.42</v>
      </c>
      <c r="BO46" s="79">
        <v>0</v>
      </c>
      <c r="BP46" s="115">
        <f>'[8]FY20 Initial Budget Allocat (2)'!BP46/'FY20 Initial Budget Allocat FTE'!BP$121</f>
        <v>0</v>
      </c>
      <c r="BQ46" s="115">
        <f>'[8]FY20 Initial Budget Allocat (2)'!BQ46/'FY20 Initial Budget Allocat FTE'!BQ$121</f>
        <v>0</v>
      </c>
      <c r="BR46" s="115">
        <f>'[8]FY20 Initial Budget Allocat (2)'!BR46/'FY20 Initial Budget Allocat FTE'!BR$121</f>
        <v>0</v>
      </c>
      <c r="BS46" s="115">
        <f>'[8]FY20 Initial Budget Allocat (2)'!BS46/'FY20 Initial Budget Allocat FTE'!BS$121</f>
        <v>1</v>
      </c>
      <c r="BT46" s="115">
        <f>'[8]FY20 Initial Budget Allocat (2)'!BT46/'FY20 Initial Budget Allocat FTE'!BT$121</f>
        <v>0</v>
      </c>
      <c r="BU46" s="115">
        <f>'[8]FY20 Initial Budget Allocat (2)'!BU46/'FY20 Initial Budget Allocat FTE'!BU$121</f>
        <v>0</v>
      </c>
      <c r="BV46" s="115">
        <f>'[8]FY20 Initial Budget Allocat (2)'!BV46/'FY20 Initial Budget Allocat FTE'!BV$121</f>
        <v>0</v>
      </c>
      <c r="BW46" s="80">
        <v>0</v>
      </c>
      <c r="BX46" s="80">
        <v>0</v>
      </c>
      <c r="BY46" s="80">
        <v>0</v>
      </c>
      <c r="BZ46" s="80">
        <v>0</v>
      </c>
      <c r="CA46" s="115">
        <f>'[8]FY20 Initial Budget Allocat (2)'!CA46/'FY20 Initial Budget Allocat FTE'!CA$121</f>
        <v>0</v>
      </c>
      <c r="CB46" s="115">
        <f>'[8]FY20 Initial Budget Allocat (2)'!CB46/'FY20 Initial Budget Allocat FTE'!CB$121</f>
        <v>0</v>
      </c>
      <c r="CC46" s="80">
        <v>0</v>
      </c>
      <c r="CD46" s="115">
        <f>'[8]FY20 Initial Budget Allocat (2)'!CD46/'FY20 Initial Budget Allocat FTE'!CD$121</f>
        <v>0</v>
      </c>
      <c r="CE46" s="115">
        <f>'[8]FY20 Initial Budget Allocat (2)'!CE46/'FY20 Initial Budget Allocat FTE'!CE$121</f>
        <v>0</v>
      </c>
      <c r="CF46" s="115">
        <f>'[8]FY20 Initial Budget Allocat (2)'!CF46/'FY20 Initial Budget Allocat FTE'!CF$121</f>
        <v>0</v>
      </c>
      <c r="CG46" s="115">
        <f>'[8]FY20 Initial Budget Allocat (2)'!CG46/'FY20 Initial Budget Allocat FTE'!CG$121</f>
        <v>0</v>
      </c>
      <c r="CH46" s="115">
        <f>'[8]FY20 Initial Budget Allocat (2)'!CH46/'FY20 Initial Budget Allocat FTE'!CH$121</f>
        <v>0</v>
      </c>
      <c r="CI46" s="115">
        <f>'[8]FY20 Initial Budget Allocat (2)'!CI46/'FY20 Initial Budget Allocat FTE'!CI$121</f>
        <v>0</v>
      </c>
      <c r="CJ46" s="115">
        <f>'[8]FY20 Initial Budget Allocat (2)'!CJ46/'FY20 Initial Budget Allocat FTE'!CJ$121</f>
        <v>0</v>
      </c>
      <c r="CK46" s="79">
        <v>0</v>
      </c>
      <c r="CL46" s="79">
        <v>0</v>
      </c>
      <c r="CM46" s="79">
        <v>108165.6</v>
      </c>
      <c r="CN46" s="79">
        <v>0</v>
      </c>
      <c r="CO46" s="115">
        <f>'[8]FY20 Initial Budget Allocat (2)'!CO46/'FY20 Initial Budget Allocat FTE'!CO$121</f>
        <v>0</v>
      </c>
      <c r="CP46" s="79">
        <v>0</v>
      </c>
      <c r="CQ46" s="79">
        <v>4659.212598425197</v>
      </c>
      <c r="CR46" s="79">
        <v>0</v>
      </c>
      <c r="CS46" s="79">
        <v>26751.177083333332</v>
      </c>
      <c r="CT46" s="115">
        <f>'[8]FY20 Initial Budget Allocat (2)'!CT46/'FY20 Initial Budget Allocat FTE'!CT$121</f>
        <v>0</v>
      </c>
      <c r="CU46" s="115">
        <f>'[8]FY20 Initial Budget Allocat (2)'!CU46/'FY20 Initial Budget Allocat FTE'!CU$121</f>
        <v>0</v>
      </c>
      <c r="CV46" s="79"/>
      <c r="CW46" s="79">
        <v>0</v>
      </c>
      <c r="CX46" s="115">
        <f>'[8]FY20 Initial Budget Allocat (2)'!CX46/'FY20 Initial Budget Allocat FTE'!CX$121</f>
        <v>0</v>
      </c>
      <c r="CY46" s="79">
        <v>0</v>
      </c>
      <c r="CZ46" s="79">
        <v>0</v>
      </c>
      <c r="DA46" s="79">
        <v>46900</v>
      </c>
      <c r="DB46" s="79">
        <v>100444.236160281</v>
      </c>
      <c r="DC46" s="82">
        <v>0</v>
      </c>
      <c r="DD46" s="79">
        <v>0</v>
      </c>
      <c r="DE46" s="79"/>
      <c r="DF46" s="79">
        <v>17000</v>
      </c>
      <c r="DG46" s="79">
        <v>0</v>
      </c>
      <c r="DH46" s="83">
        <v>0</v>
      </c>
      <c r="DI46" s="79">
        <v>14598.09413253226</v>
      </c>
      <c r="DJ46" s="79">
        <v>6846506.1481576301</v>
      </c>
      <c r="DK46" s="84">
        <v>1.8423702567815781E-3</v>
      </c>
      <c r="DL46" s="84">
        <v>0</v>
      </c>
      <c r="DM46" s="84">
        <f t="shared" si="0"/>
        <v>6846506.1500000004</v>
      </c>
      <c r="DN46" s="116">
        <f t="shared" si="1"/>
        <v>11</v>
      </c>
      <c r="DO46" s="116">
        <f t="shared" si="2"/>
        <v>12</v>
      </c>
      <c r="DP46" s="116">
        <f t="shared" si="3"/>
        <v>15.000000000000002</v>
      </c>
      <c r="DQ46" s="116">
        <f t="shared" si="4"/>
        <v>12</v>
      </c>
      <c r="DR46" s="116">
        <f t="shared" si="5"/>
        <v>3</v>
      </c>
    </row>
    <row r="47" spans="1:122" x14ac:dyDescent="0.25">
      <c r="A47" s="76">
        <v>254</v>
      </c>
      <c r="B47" s="76" t="s">
        <v>186</v>
      </c>
      <c r="C47" s="77" t="s">
        <v>135</v>
      </c>
      <c r="D47" s="41">
        <v>3</v>
      </c>
      <c r="E47" s="78">
        <v>743</v>
      </c>
      <c r="F47" s="78">
        <v>21.35027472527473</v>
      </c>
      <c r="G47" s="115">
        <f>'[8]FY20 Initial Budget Allocat (2)'!G47/'FY20 Initial Budget Allocat FTE'!G$121</f>
        <v>1</v>
      </c>
      <c r="H47" s="115">
        <f>'[8]FY20 Initial Budget Allocat (2)'!H47/'FY20 Initial Budget Allocat FTE'!H$121</f>
        <v>1</v>
      </c>
      <c r="I47" s="115">
        <f>'[8]FY20 Initial Budget Allocat (2)'!I47/'FY20 Initial Budget Allocat FTE'!I$121</f>
        <v>1.9000000000000001</v>
      </c>
      <c r="J47" s="115">
        <f>'[8]FY20 Initial Budget Allocat (2)'!J47/'FY20 Initial Budget Allocat FTE'!J$121</f>
        <v>0</v>
      </c>
      <c r="K47" s="115">
        <f>'[8]FY20 Initial Budget Allocat (2)'!K47/'FY20 Initial Budget Allocat FTE'!K$121</f>
        <v>0</v>
      </c>
      <c r="L47" s="115">
        <f>'[8]FY20 Initial Budget Allocat (2)'!L47/'FY20 Initial Budget Allocat FTE'!L$121</f>
        <v>1</v>
      </c>
      <c r="M47" s="115">
        <f>'[8]FY20 Initial Budget Allocat (2)'!M47/'FY20 Initial Budget Allocat FTE'!M$121</f>
        <v>1</v>
      </c>
      <c r="N47" s="115">
        <f>'[8]FY20 Initial Budget Allocat (2)'!N47/'FY20 Initial Budget Allocat FTE'!N$121</f>
        <v>1.9</v>
      </c>
      <c r="O47" s="115">
        <f>'[8]FY20 Initial Budget Allocat (2)'!O47/'FY20 Initial Budget Allocat FTE'!O$121</f>
        <v>0</v>
      </c>
      <c r="P47" s="115">
        <f>'[8]FY20 Initial Budget Allocat (2)'!P47/'FY20 Initial Budget Allocat FTE'!P$121</f>
        <v>0</v>
      </c>
      <c r="Q47" s="115">
        <f>'[8]FY20 Initial Budget Allocat (2)'!Q47/'FY20 Initial Budget Allocat FTE'!Q$121</f>
        <v>0</v>
      </c>
      <c r="R47" s="115">
        <f>'[8]FY20 Initial Budget Allocat (2)'!R47/'FY20 Initial Budget Allocat FTE'!R$121</f>
        <v>1</v>
      </c>
      <c r="S47" s="115">
        <f>'[8]FY20 Initial Budget Allocat (2)'!S47/'FY20 Initial Budget Allocat FTE'!S$121</f>
        <v>1</v>
      </c>
      <c r="T47" s="115">
        <f>'[8]FY20 Initial Budget Allocat (2)'!T47/'FY20 Initial Budget Allocat FTE'!T$121</f>
        <v>3</v>
      </c>
      <c r="U47" s="115">
        <f>'[8]FY20 Initial Budget Allocat (2)'!U47/'FY20 Initial Budget Allocat FTE'!U$121</f>
        <v>1</v>
      </c>
      <c r="V47" s="115">
        <f>'[8]FY20 Initial Budget Allocat (2)'!V47/'FY20 Initial Budget Allocat FTE'!V$121</f>
        <v>1</v>
      </c>
      <c r="W47" s="115">
        <f>'[8]FY20 Initial Budget Allocat (2)'!W47/'FY20 Initial Budget Allocat FTE'!W$121</f>
        <v>1</v>
      </c>
      <c r="X47" s="115">
        <f>'[8]FY20 Initial Budget Allocat (2)'!X47/'FY20 Initial Budget Allocat FTE'!X$121</f>
        <v>1</v>
      </c>
      <c r="Y47" s="115">
        <f>'[8]FY20 Initial Budget Allocat (2)'!Y47/'FY20 Initial Budget Allocat FTE'!Y$121</f>
        <v>2.4999999999999982</v>
      </c>
      <c r="Z47" s="115">
        <f>'[8]FY20 Initial Budget Allocat (2)'!Z47/'FY20 Initial Budget Allocat FTE'!Z$121</f>
        <v>1</v>
      </c>
      <c r="AA47" s="115">
        <f>'[8]FY20 Initial Budget Allocat (2)'!AA47/'FY20 Initial Budget Allocat FTE'!AA$121</f>
        <v>0</v>
      </c>
      <c r="AB47" s="115">
        <f>'[8]FY20 Initial Budget Allocat (2)'!AB47/'FY20 Initial Budget Allocat FTE'!AB$121</f>
        <v>0</v>
      </c>
      <c r="AC47" s="115">
        <f>'[8]FY20 Initial Budget Allocat (2)'!AC47/'FY20 Initial Budget Allocat FTE'!AC$121</f>
        <v>0</v>
      </c>
      <c r="AD47" s="115">
        <f>'[8]FY20 Initial Budget Allocat (2)'!AD47/'FY20 Initial Budget Allocat FTE'!AD$121</f>
        <v>0</v>
      </c>
      <c r="AE47" s="115">
        <f>'[8]FY20 Initial Budget Allocat (2)'!AE47/'FY20 Initial Budget Allocat FTE'!AE$121</f>
        <v>3.0000000000000004</v>
      </c>
      <c r="AF47" s="115">
        <f>'[8]FY20 Initial Budget Allocat (2)'!AF47/'FY20 Initial Budget Allocat FTE'!AF$121</f>
        <v>3</v>
      </c>
      <c r="AG47" s="115">
        <f>'[8]FY20 Initial Budget Allocat (2)'!AG47/'FY20 Initial Budget Allocat FTE'!AG$121</f>
        <v>4</v>
      </c>
      <c r="AH47" s="115">
        <f>'[8]FY20 Initial Budget Allocat (2)'!AH47/'FY20 Initial Budget Allocat FTE'!AH$121</f>
        <v>4</v>
      </c>
      <c r="AI47" s="115">
        <f>'[8]FY20 Initial Budget Allocat (2)'!AI47/'FY20 Initial Budget Allocat FTE'!AI$121</f>
        <v>5</v>
      </c>
      <c r="AJ47" s="115">
        <f>'[8]FY20 Initial Budget Allocat (2)'!AJ47/'FY20 Initial Budget Allocat FTE'!AJ$121</f>
        <v>6.0000000000000009</v>
      </c>
      <c r="AK47" s="115">
        <f>'[8]FY20 Initial Budget Allocat (2)'!AK47/'FY20 Initial Budget Allocat FTE'!AK$121</f>
        <v>5</v>
      </c>
      <c r="AL47" s="115">
        <f>'[8]FY20 Initial Budget Allocat (2)'!AL47/'FY20 Initial Budget Allocat FTE'!AL$121</f>
        <v>5</v>
      </c>
      <c r="AM47" s="115">
        <f>'[8]FY20 Initial Budget Allocat (2)'!AM47/'FY20 Initial Budget Allocat FTE'!AM$121</f>
        <v>5</v>
      </c>
      <c r="AN47" s="115">
        <f>'[8]FY20 Initial Budget Allocat (2)'!AN47/'FY20 Initial Budget Allocat FTE'!AN$121</f>
        <v>0</v>
      </c>
      <c r="AO47" s="115">
        <f>'[8]FY20 Initial Budget Allocat (2)'!AO47/'FY20 Initial Budget Allocat FTE'!AO$121</f>
        <v>0</v>
      </c>
      <c r="AP47" s="115">
        <f>'[8]FY20 Initial Budget Allocat (2)'!AP47/'FY20 Initial Budget Allocat FTE'!AP$121</f>
        <v>0</v>
      </c>
      <c r="AQ47" s="115">
        <f>'[8]FY20 Initial Budget Allocat (2)'!AQ47/'FY20 Initial Budget Allocat FTE'!AQ$121</f>
        <v>0</v>
      </c>
      <c r="AR47" s="115">
        <f>'[8]FY20 Initial Budget Allocat (2)'!AR47/'FY20 Initial Budget Allocat FTE'!AR$121</f>
        <v>0</v>
      </c>
      <c r="AS47" s="115">
        <f>'[8]FY20 Initial Budget Allocat (2)'!AS47/'FY20 Initial Budget Allocat FTE'!AS$121</f>
        <v>0</v>
      </c>
      <c r="AT47" s="115">
        <f>'[8]FY20 Initial Budget Allocat (2)'!AT47/'FY20 Initial Budget Allocat FTE'!AT$121</f>
        <v>0</v>
      </c>
      <c r="AU47" s="115">
        <f>'[8]FY20 Initial Budget Allocat (2)'!AU47/'FY20 Initial Budget Allocat FTE'!AU$121</f>
        <v>0</v>
      </c>
      <c r="AV47" s="115">
        <f>'[8]FY20 Initial Budget Allocat (2)'!AV47/'FY20 Initial Budget Allocat FTE'!AV$121</f>
        <v>0</v>
      </c>
      <c r="AW47" s="115">
        <f>'[8]FY20 Initial Budget Allocat (2)'!AW47/'FY20 Initial Budget Allocat FTE'!AW$121</f>
        <v>0</v>
      </c>
      <c r="AX47" s="115">
        <f>'[8]FY20 Initial Budget Allocat (2)'!AX47/'FY20 Initial Budget Allocat FTE'!AX$121</f>
        <v>0.5</v>
      </c>
      <c r="AY47" s="115">
        <f>'[8]FY20 Initial Budget Allocat (2)'!AY47/'FY20 Initial Budget Allocat FTE'!AY$121</f>
        <v>1</v>
      </c>
      <c r="AZ47" s="115">
        <f>'[8]FY20 Initial Budget Allocat (2)'!AZ47/'FY20 Initial Budget Allocat FTE'!AZ$121</f>
        <v>5</v>
      </c>
      <c r="BA47" s="115">
        <f>'[8]FY20 Initial Budget Allocat (2)'!BA47/'FY20 Initial Budget Allocat FTE'!BA$121</f>
        <v>0</v>
      </c>
      <c r="BB47" s="115">
        <f>'[8]FY20 Initial Budget Allocat (2)'!BB47/'FY20 Initial Budget Allocat FTE'!BB$121</f>
        <v>0</v>
      </c>
      <c r="BC47" s="115">
        <f>'[8]FY20 Initial Budget Allocat (2)'!BC47/'FY20 Initial Budget Allocat FTE'!BC$121</f>
        <v>0</v>
      </c>
      <c r="BD47" s="115">
        <f>'[8]FY20 Initial Budget Allocat (2)'!BD47/'FY20 Initial Budget Allocat FTE'!BD$121</f>
        <v>1</v>
      </c>
      <c r="BE47" s="115">
        <f>'[8]FY20 Initial Budget Allocat (2)'!BE47/'FY20 Initial Budget Allocat FTE'!BE$121</f>
        <v>0</v>
      </c>
      <c r="BF47" s="115">
        <f>'[8]FY20 Initial Budget Allocat (2)'!BF47/'FY20 Initial Budget Allocat FTE'!BF$121</f>
        <v>0</v>
      </c>
      <c r="BG47" s="115">
        <f>'[8]FY20 Initial Budget Allocat (2)'!BG47/'FY20 Initial Budget Allocat FTE'!BG$121</f>
        <v>0</v>
      </c>
      <c r="BH47" s="115">
        <f>'[8]FY20 Initial Budget Allocat (2)'!BH47/'FY20 Initial Budget Allocat FTE'!BH$121</f>
        <v>0</v>
      </c>
      <c r="BI47" s="115">
        <f>'[8]FY20 Initial Budget Allocat (2)'!BI47/'FY20 Initial Budget Allocat FTE'!BI$121</f>
        <v>0</v>
      </c>
      <c r="BJ47" s="79"/>
      <c r="BK47" s="79">
        <v>0</v>
      </c>
      <c r="BL47" s="79"/>
      <c r="BM47" s="79">
        <v>0</v>
      </c>
      <c r="BN47" s="79">
        <v>0</v>
      </c>
      <c r="BO47" s="79">
        <v>18400</v>
      </c>
      <c r="BP47" s="115">
        <f>'[8]FY20 Initial Budget Allocat (2)'!BP47/'FY20 Initial Budget Allocat FTE'!BP$121</f>
        <v>0</v>
      </c>
      <c r="BQ47" s="115">
        <f>'[8]FY20 Initial Budget Allocat (2)'!BQ47/'FY20 Initial Budget Allocat FTE'!BQ$121</f>
        <v>0</v>
      </c>
      <c r="BR47" s="115">
        <f>'[8]FY20 Initial Budget Allocat (2)'!BR47/'FY20 Initial Budget Allocat FTE'!BR$121</f>
        <v>0</v>
      </c>
      <c r="BS47" s="115">
        <f>'[8]FY20 Initial Budget Allocat (2)'!BS47/'FY20 Initial Budget Allocat FTE'!BS$121</f>
        <v>0</v>
      </c>
      <c r="BT47" s="115">
        <f>'[8]FY20 Initial Budget Allocat (2)'!BT47/'FY20 Initial Budget Allocat FTE'!BT$121</f>
        <v>0</v>
      </c>
      <c r="BU47" s="115">
        <f>'[8]FY20 Initial Budget Allocat (2)'!BU47/'FY20 Initial Budget Allocat FTE'!BU$121</f>
        <v>0</v>
      </c>
      <c r="BV47" s="115">
        <f>'[8]FY20 Initial Budget Allocat (2)'!BV47/'FY20 Initial Budget Allocat FTE'!BV$121</f>
        <v>0</v>
      </c>
      <c r="BW47" s="80">
        <v>0</v>
      </c>
      <c r="BX47" s="80">
        <v>0</v>
      </c>
      <c r="BY47" s="80">
        <v>0</v>
      </c>
      <c r="BZ47" s="80">
        <v>0</v>
      </c>
      <c r="CA47" s="115">
        <f>'[8]FY20 Initial Budget Allocat (2)'!CA47/'FY20 Initial Budget Allocat FTE'!CA$121</f>
        <v>0</v>
      </c>
      <c r="CB47" s="115">
        <f>'[8]FY20 Initial Budget Allocat (2)'!CB47/'FY20 Initial Budget Allocat FTE'!CB$121</f>
        <v>0</v>
      </c>
      <c r="CC47" s="80">
        <v>0</v>
      </c>
      <c r="CD47" s="115">
        <f>'[8]FY20 Initial Budget Allocat (2)'!CD47/'FY20 Initial Budget Allocat FTE'!CD$121</f>
        <v>0</v>
      </c>
      <c r="CE47" s="115">
        <f>'[8]FY20 Initial Budget Allocat (2)'!CE47/'FY20 Initial Budget Allocat FTE'!CE$121</f>
        <v>0</v>
      </c>
      <c r="CF47" s="115">
        <f>'[8]FY20 Initial Budget Allocat (2)'!CF47/'FY20 Initial Budget Allocat FTE'!CF$121</f>
        <v>0</v>
      </c>
      <c r="CG47" s="115">
        <f>'[8]FY20 Initial Budget Allocat (2)'!CG47/'FY20 Initial Budget Allocat FTE'!CG$121</f>
        <v>0</v>
      </c>
      <c r="CH47" s="115">
        <f>'[8]FY20 Initial Budget Allocat (2)'!CH47/'FY20 Initial Budget Allocat FTE'!CH$121</f>
        <v>0</v>
      </c>
      <c r="CI47" s="115">
        <f>'[8]FY20 Initial Budget Allocat (2)'!CI47/'FY20 Initial Budget Allocat FTE'!CI$121</f>
        <v>0</v>
      </c>
      <c r="CJ47" s="115">
        <f>'[8]FY20 Initial Budget Allocat (2)'!CJ47/'FY20 Initial Budget Allocat FTE'!CJ$121</f>
        <v>0</v>
      </c>
      <c r="CK47" s="79">
        <v>0</v>
      </c>
      <c r="CL47" s="79">
        <v>0</v>
      </c>
      <c r="CM47" s="79">
        <v>108165.6</v>
      </c>
      <c r="CN47" s="79">
        <v>0</v>
      </c>
      <c r="CO47" s="115">
        <f>'[8]FY20 Initial Budget Allocat (2)'!CO47/'FY20 Initial Budget Allocat FTE'!CO$121</f>
        <v>0</v>
      </c>
      <c r="CP47" s="79">
        <v>0</v>
      </c>
      <c r="CQ47" s="79">
        <v>0</v>
      </c>
      <c r="CR47" s="79">
        <v>0</v>
      </c>
      <c r="CS47" s="79">
        <v>37769.728571428568</v>
      </c>
      <c r="CT47" s="115">
        <f>'[8]FY20 Initial Budget Allocat (2)'!CT47/'FY20 Initial Budget Allocat FTE'!CT$121</f>
        <v>0</v>
      </c>
      <c r="CU47" s="115">
        <f>'[8]FY20 Initial Budget Allocat (2)'!CU47/'FY20 Initial Budget Allocat FTE'!CU$121</f>
        <v>0</v>
      </c>
      <c r="CV47" s="79"/>
      <c r="CW47" s="79">
        <v>0</v>
      </c>
      <c r="CX47" s="115">
        <f>'[8]FY20 Initial Budget Allocat (2)'!CX47/'FY20 Initial Budget Allocat FTE'!CX$121</f>
        <v>0</v>
      </c>
      <c r="CY47" s="79">
        <v>0</v>
      </c>
      <c r="CZ47" s="79">
        <v>0</v>
      </c>
      <c r="DA47" s="79">
        <v>74300</v>
      </c>
      <c r="DB47" s="79">
        <v>105035.29726680301</v>
      </c>
      <c r="DC47" s="82">
        <v>859597.86690692324</v>
      </c>
      <c r="DD47" s="79">
        <v>0</v>
      </c>
      <c r="DE47" s="79"/>
      <c r="DF47" s="79">
        <v>3000</v>
      </c>
      <c r="DG47" s="79">
        <v>0</v>
      </c>
      <c r="DH47" s="83">
        <v>0</v>
      </c>
      <c r="DI47" s="79">
        <v>10404.037685060564</v>
      </c>
      <c r="DJ47" s="79">
        <v>7730200.0000000019</v>
      </c>
      <c r="DK47" s="84">
        <v>0</v>
      </c>
      <c r="DL47" s="84">
        <v>0</v>
      </c>
      <c r="DM47" s="84">
        <f t="shared" si="0"/>
        <v>7730200.0000000019</v>
      </c>
      <c r="DN47" s="116">
        <f t="shared" si="1"/>
        <v>7</v>
      </c>
      <c r="DO47" s="116">
        <f t="shared" si="2"/>
        <v>7</v>
      </c>
      <c r="DP47" s="116">
        <f t="shared" si="3"/>
        <v>26</v>
      </c>
      <c r="DQ47" s="116">
        <f t="shared" si="4"/>
        <v>7.5</v>
      </c>
      <c r="DR47" s="116">
        <f t="shared" si="5"/>
        <v>0</v>
      </c>
    </row>
    <row r="48" spans="1:122" ht="31.5" x14ac:dyDescent="0.25">
      <c r="A48" s="76">
        <v>433</v>
      </c>
      <c r="B48" s="76" t="s">
        <v>187</v>
      </c>
      <c r="C48" s="77" t="s">
        <v>152</v>
      </c>
      <c r="D48" s="41">
        <v>6</v>
      </c>
      <c r="E48" s="78">
        <v>349</v>
      </c>
      <c r="F48" s="78">
        <v>223.53225806451613</v>
      </c>
      <c r="G48" s="115">
        <f>'[8]FY20 Initial Budget Allocat (2)'!G48/'FY20 Initial Budget Allocat FTE'!G$121</f>
        <v>1</v>
      </c>
      <c r="H48" s="115">
        <f>'[8]FY20 Initial Budget Allocat (2)'!H48/'FY20 Initial Budget Allocat FTE'!H$121</f>
        <v>1</v>
      </c>
      <c r="I48" s="115">
        <f>'[8]FY20 Initial Budget Allocat (2)'!I48/'FY20 Initial Budget Allocat FTE'!I$121</f>
        <v>1.2</v>
      </c>
      <c r="J48" s="115">
        <f>'[8]FY20 Initial Budget Allocat (2)'!J48/'FY20 Initial Budget Allocat FTE'!J$121</f>
        <v>1</v>
      </c>
      <c r="K48" s="115">
        <f>'[8]FY20 Initial Budget Allocat (2)'!K48/'FY20 Initial Budget Allocat FTE'!K$121</f>
        <v>0</v>
      </c>
      <c r="L48" s="115">
        <f>'[8]FY20 Initial Budget Allocat (2)'!L48/'FY20 Initial Budget Allocat FTE'!L$121</f>
        <v>1</v>
      </c>
      <c r="M48" s="115">
        <f>'[8]FY20 Initial Budget Allocat (2)'!M48/'FY20 Initial Budget Allocat FTE'!M$121</f>
        <v>1</v>
      </c>
      <c r="N48" s="115">
        <f>'[8]FY20 Initial Budget Allocat (2)'!N48/'FY20 Initial Budget Allocat FTE'!N$121</f>
        <v>0</v>
      </c>
      <c r="O48" s="115">
        <f>'[8]FY20 Initial Budget Allocat (2)'!O48/'FY20 Initial Budget Allocat FTE'!O$121</f>
        <v>0</v>
      </c>
      <c r="P48" s="115">
        <f>'[8]FY20 Initial Budget Allocat (2)'!P48/'FY20 Initial Budget Allocat FTE'!P$121</f>
        <v>0</v>
      </c>
      <c r="Q48" s="115">
        <f>'[8]FY20 Initial Budget Allocat (2)'!Q48/'FY20 Initial Budget Allocat FTE'!Q$121</f>
        <v>0</v>
      </c>
      <c r="R48" s="115">
        <f>'[8]FY20 Initial Budget Allocat (2)'!R48/'FY20 Initial Budget Allocat FTE'!R$121</f>
        <v>1</v>
      </c>
      <c r="S48" s="115">
        <f>'[8]FY20 Initial Budget Allocat (2)'!S48/'FY20 Initial Budget Allocat FTE'!S$121</f>
        <v>1</v>
      </c>
      <c r="T48" s="115">
        <f>'[8]FY20 Initial Budget Allocat (2)'!T48/'FY20 Initial Budget Allocat FTE'!T$121</f>
        <v>3</v>
      </c>
      <c r="U48" s="115">
        <f>'[8]FY20 Initial Budget Allocat (2)'!U48/'FY20 Initial Budget Allocat FTE'!U$121</f>
        <v>1</v>
      </c>
      <c r="V48" s="115">
        <f>'[8]FY20 Initial Budget Allocat (2)'!V48/'FY20 Initial Budget Allocat FTE'!V$121</f>
        <v>0</v>
      </c>
      <c r="W48" s="115">
        <f>'[8]FY20 Initial Budget Allocat (2)'!W48/'FY20 Initial Budget Allocat FTE'!W$121</f>
        <v>0</v>
      </c>
      <c r="X48" s="115">
        <f>'[8]FY20 Initial Budget Allocat (2)'!X48/'FY20 Initial Budget Allocat FTE'!X$121</f>
        <v>0</v>
      </c>
      <c r="Y48" s="115">
        <f>'[8]FY20 Initial Budget Allocat (2)'!Y48/'FY20 Initial Budget Allocat FTE'!Y$121</f>
        <v>0</v>
      </c>
      <c r="Z48" s="115">
        <f>'[8]FY20 Initial Budget Allocat (2)'!Z48/'FY20 Initial Budget Allocat FTE'!Z$121</f>
        <v>0</v>
      </c>
      <c r="AA48" s="115">
        <f>'[8]FY20 Initial Budget Allocat (2)'!AA48/'FY20 Initial Budget Allocat FTE'!AA$121</f>
        <v>0</v>
      </c>
      <c r="AB48" s="115">
        <f>'[8]FY20 Initial Budget Allocat (2)'!AB48/'FY20 Initial Budget Allocat FTE'!AB$121</f>
        <v>0</v>
      </c>
      <c r="AC48" s="115">
        <f>'[8]FY20 Initial Budget Allocat (2)'!AC48/'FY20 Initial Budget Allocat FTE'!AC$121</f>
        <v>0</v>
      </c>
      <c r="AD48" s="115">
        <f>'[8]FY20 Initial Budget Allocat (2)'!AD48/'FY20 Initial Budget Allocat FTE'!AD$121</f>
        <v>0</v>
      </c>
      <c r="AE48" s="115">
        <f>'[8]FY20 Initial Budget Allocat (2)'!AE48/'FY20 Initial Budget Allocat FTE'!AE$121</f>
        <v>0</v>
      </c>
      <c r="AF48" s="115">
        <f>'[8]FY20 Initial Budget Allocat (2)'!AF48/'FY20 Initial Budget Allocat FTE'!AF$121</f>
        <v>0</v>
      </c>
      <c r="AG48" s="115">
        <f>'[8]FY20 Initial Budget Allocat (2)'!AG48/'FY20 Initial Budget Allocat FTE'!AG$121</f>
        <v>0</v>
      </c>
      <c r="AH48" s="115">
        <f>'[8]FY20 Initial Budget Allocat (2)'!AH48/'FY20 Initial Budget Allocat FTE'!AH$121</f>
        <v>0</v>
      </c>
      <c r="AI48" s="115">
        <f>'[8]FY20 Initial Budget Allocat (2)'!AI48/'FY20 Initial Budget Allocat FTE'!AI$121</f>
        <v>0</v>
      </c>
      <c r="AJ48" s="115">
        <f>'[8]FY20 Initial Budget Allocat (2)'!AJ48/'FY20 Initial Budget Allocat FTE'!AJ$121</f>
        <v>0</v>
      </c>
      <c r="AK48" s="115">
        <f>'[8]FY20 Initial Budget Allocat (2)'!AK48/'FY20 Initial Budget Allocat FTE'!AK$121</f>
        <v>0</v>
      </c>
      <c r="AL48" s="115">
        <f>'[8]FY20 Initial Budget Allocat (2)'!AL48/'FY20 Initial Budget Allocat FTE'!AL$121</f>
        <v>0</v>
      </c>
      <c r="AM48" s="115">
        <f>'[8]FY20 Initial Budget Allocat (2)'!AM48/'FY20 Initial Budget Allocat FTE'!AM$121</f>
        <v>0</v>
      </c>
      <c r="AN48" s="115">
        <f>'[8]FY20 Initial Budget Allocat (2)'!AN48/'FY20 Initial Budget Allocat FTE'!AN$121</f>
        <v>6.0000000000000009</v>
      </c>
      <c r="AO48" s="115">
        <f>'[8]FY20 Initial Budget Allocat (2)'!AO48/'FY20 Initial Budget Allocat FTE'!AO$121</f>
        <v>5.4</v>
      </c>
      <c r="AP48" s="115">
        <f>'[8]FY20 Initial Budget Allocat (2)'!AP48/'FY20 Initial Budget Allocat FTE'!AP$121</f>
        <v>4.5</v>
      </c>
      <c r="AQ48" s="115">
        <f>'[8]FY20 Initial Budget Allocat (2)'!AQ48/'FY20 Initial Budget Allocat FTE'!AQ$121</f>
        <v>0</v>
      </c>
      <c r="AR48" s="115">
        <f>'[8]FY20 Initial Budget Allocat (2)'!AR48/'FY20 Initial Budget Allocat FTE'!AR$121</f>
        <v>0</v>
      </c>
      <c r="AS48" s="115">
        <f>'[8]FY20 Initial Budget Allocat (2)'!AS48/'FY20 Initial Budget Allocat FTE'!AS$121</f>
        <v>0</v>
      </c>
      <c r="AT48" s="115">
        <f>'[8]FY20 Initial Budget Allocat (2)'!AT48/'FY20 Initial Budget Allocat FTE'!AT$121</f>
        <v>0</v>
      </c>
      <c r="AU48" s="115">
        <f>'[8]FY20 Initial Budget Allocat (2)'!AU48/'FY20 Initial Budget Allocat FTE'!AU$121</f>
        <v>0</v>
      </c>
      <c r="AV48" s="115">
        <f>'[8]FY20 Initial Budget Allocat (2)'!AV48/'FY20 Initial Budget Allocat FTE'!AV$121</f>
        <v>0</v>
      </c>
      <c r="AW48" s="115">
        <f>'[8]FY20 Initial Budget Allocat (2)'!AW48/'FY20 Initial Budget Allocat FTE'!AW$121</f>
        <v>0</v>
      </c>
      <c r="AX48" s="115">
        <f>'[8]FY20 Initial Budget Allocat (2)'!AX48/'FY20 Initial Budget Allocat FTE'!AX$121</f>
        <v>1</v>
      </c>
      <c r="AY48" s="115">
        <f>'[8]FY20 Initial Budget Allocat (2)'!AY48/'FY20 Initial Budget Allocat FTE'!AY$121</f>
        <v>2</v>
      </c>
      <c r="AZ48" s="115">
        <f>'[8]FY20 Initial Budget Allocat (2)'!AZ48/'FY20 Initial Budget Allocat FTE'!AZ$121</f>
        <v>8</v>
      </c>
      <c r="BA48" s="115">
        <f>'[8]FY20 Initial Budget Allocat (2)'!BA48/'FY20 Initial Budget Allocat FTE'!BA$121</f>
        <v>3</v>
      </c>
      <c r="BB48" s="115">
        <f>'[8]FY20 Initial Budget Allocat (2)'!BB48/'FY20 Initial Budget Allocat FTE'!BB$121</f>
        <v>0</v>
      </c>
      <c r="BC48" s="115">
        <f>'[8]FY20 Initial Budget Allocat (2)'!BC48/'FY20 Initial Budget Allocat FTE'!BC$121</f>
        <v>0</v>
      </c>
      <c r="BD48" s="115">
        <f>'[8]FY20 Initial Budget Allocat (2)'!BD48/'FY20 Initial Budget Allocat FTE'!BD$121</f>
        <v>0.13636363636363635</v>
      </c>
      <c r="BE48" s="115">
        <f>'[8]FY20 Initial Budget Allocat (2)'!BE48/'FY20 Initial Budget Allocat FTE'!BE$121</f>
        <v>0</v>
      </c>
      <c r="BF48" s="115">
        <f>'[8]FY20 Initial Budget Allocat (2)'!BF48/'FY20 Initial Budget Allocat FTE'!BF$121</f>
        <v>0</v>
      </c>
      <c r="BG48" s="115">
        <f>'[8]FY20 Initial Budget Allocat (2)'!BG48/'FY20 Initial Budget Allocat FTE'!BG$121</f>
        <v>6.2629468760440968E-2</v>
      </c>
      <c r="BH48" s="115">
        <f>'[8]FY20 Initial Budget Allocat (2)'!BH48/'FY20 Initial Budget Allocat FTE'!BH$121</f>
        <v>2</v>
      </c>
      <c r="BI48" s="115">
        <f>'[8]FY20 Initial Budget Allocat (2)'!BI48/'FY20 Initial Budget Allocat FTE'!BI$121</f>
        <v>1</v>
      </c>
      <c r="BJ48" s="79"/>
      <c r="BK48" s="79">
        <v>0</v>
      </c>
      <c r="BL48" s="79">
        <v>11597.1</v>
      </c>
      <c r="BM48" s="79">
        <v>148321.41</v>
      </c>
      <c r="BN48" s="79">
        <v>2360.1799999999998</v>
      </c>
      <c r="BO48" s="79">
        <v>0</v>
      </c>
      <c r="BP48" s="115">
        <f>'[8]FY20 Initial Budget Allocat (2)'!BP48/'FY20 Initial Budget Allocat FTE'!BP$121</f>
        <v>0</v>
      </c>
      <c r="BQ48" s="115">
        <f>'[8]FY20 Initial Budget Allocat (2)'!BQ48/'FY20 Initial Budget Allocat FTE'!BQ$121</f>
        <v>0</v>
      </c>
      <c r="BR48" s="115">
        <f>'[8]FY20 Initial Budget Allocat (2)'!BR48/'FY20 Initial Budget Allocat FTE'!BR$121</f>
        <v>1</v>
      </c>
      <c r="BS48" s="115">
        <f>'[8]FY20 Initial Budget Allocat (2)'!BS48/'FY20 Initial Budget Allocat FTE'!BS$121</f>
        <v>0</v>
      </c>
      <c r="BT48" s="115">
        <f>'[8]FY20 Initial Budget Allocat (2)'!BT48/'FY20 Initial Budget Allocat FTE'!BT$121</f>
        <v>0</v>
      </c>
      <c r="BU48" s="115">
        <f>'[8]FY20 Initial Budget Allocat (2)'!BU48/'FY20 Initial Budget Allocat FTE'!BU$121</f>
        <v>0</v>
      </c>
      <c r="BV48" s="115">
        <f>'[8]FY20 Initial Budget Allocat (2)'!BV48/'FY20 Initial Budget Allocat FTE'!BV$121</f>
        <v>0</v>
      </c>
      <c r="BW48" s="80">
        <v>0</v>
      </c>
      <c r="BX48" s="80">
        <v>0</v>
      </c>
      <c r="BY48" s="80">
        <v>0</v>
      </c>
      <c r="BZ48" s="80">
        <v>0</v>
      </c>
      <c r="CA48" s="115">
        <f>'[8]FY20 Initial Budget Allocat (2)'!CA48/'FY20 Initial Budget Allocat FTE'!CA$121</f>
        <v>0</v>
      </c>
      <c r="CB48" s="115">
        <f>'[8]FY20 Initial Budget Allocat (2)'!CB48/'FY20 Initial Budget Allocat FTE'!CB$121</f>
        <v>0</v>
      </c>
      <c r="CC48" s="80">
        <v>0</v>
      </c>
      <c r="CD48" s="115">
        <f>'[8]FY20 Initial Budget Allocat (2)'!CD48/'FY20 Initial Budget Allocat FTE'!CD$121</f>
        <v>0</v>
      </c>
      <c r="CE48" s="115">
        <f>'[8]FY20 Initial Budget Allocat (2)'!CE48/'FY20 Initial Budget Allocat FTE'!CE$121</f>
        <v>0</v>
      </c>
      <c r="CF48" s="115">
        <f>'[8]FY20 Initial Budget Allocat (2)'!CF48/'FY20 Initial Budget Allocat FTE'!CF$121</f>
        <v>0</v>
      </c>
      <c r="CG48" s="115">
        <f>'[8]FY20 Initial Budget Allocat (2)'!CG48/'FY20 Initial Budget Allocat FTE'!CG$121</f>
        <v>0</v>
      </c>
      <c r="CH48" s="115">
        <f>'[8]FY20 Initial Budget Allocat (2)'!CH48/'FY20 Initial Budget Allocat FTE'!CH$121</f>
        <v>0</v>
      </c>
      <c r="CI48" s="115">
        <f>'[8]FY20 Initial Budget Allocat (2)'!CI48/'FY20 Initial Budget Allocat FTE'!CI$121</f>
        <v>2</v>
      </c>
      <c r="CJ48" s="115">
        <f>'[8]FY20 Initial Budget Allocat (2)'!CJ48/'FY20 Initial Budget Allocat FTE'!CJ$121</f>
        <v>0</v>
      </c>
      <c r="CK48" s="79">
        <v>23000</v>
      </c>
      <c r="CL48" s="79">
        <v>5000</v>
      </c>
      <c r="CM48" s="79">
        <v>295048.09999999998</v>
      </c>
      <c r="CN48" s="79">
        <v>100000</v>
      </c>
      <c r="CO48" s="115">
        <f>'[8]FY20 Initial Budget Allocat (2)'!CO48/'FY20 Initial Budget Allocat FTE'!CO$121</f>
        <v>0</v>
      </c>
      <c r="CP48" s="79">
        <v>0</v>
      </c>
      <c r="CQ48" s="79">
        <v>4470.6451612903229</v>
      </c>
      <c r="CR48" s="79">
        <v>0</v>
      </c>
      <c r="CS48" s="79">
        <v>28279.446341463416</v>
      </c>
      <c r="CT48" s="115">
        <f>'[8]FY20 Initial Budget Allocat (2)'!CT48/'FY20 Initial Budget Allocat FTE'!CT$121</f>
        <v>0</v>
      </c>
      <c r="CU48" s="115">
        <f>'[8]FY20 Initial Budget Allocat (2)'!CU48/'FY20 Initial Budget Allocat FTE'!CU$121</f>
        <v>0</v>
      </c>
      <c r="CV48" s="79"/>
      <c r="CW48" s="79">
        <v>0</v>
      </c>
      <c r="CX48" s="115">
        <f>'[8]FY20 Initial Budget Allocat (2)'!CX48/'FY20 Initial Budget Allocat FTE'!CX$121</f>
        <v>0</v>
      </c>
      <c r="CY48" s="79">
        <v>0</v>
      </c>
      <c r="CZ48" s="79">
        <v>0</v>
      </c>
      <c r="DA48" s="79">
        <v>34900</v>
      </c>
      <c r="DB48" s="79">
        <v>73941.786460452277</v>
      </c>
      <c r="DC48" s="82">
        <v>0</v>
      </c>
      <c r="DD48" s="79">
        <v>0</v>
      </c>
      <c r="DE48" s="79"/>
      <c r="DF48" s="79">
        <v>34200</v>
      </c>
      <c r="DG48" s="79">
        <v>0</v>
      </c>
      <c r="DH48" s="83">
        <v>0</v>
      </c>
      <c r="DI48" s="79">
        <v>15106.329834070708</v>
      </c>
      <c r="DJ48" s="79">
        <v>5272109.1120906761</v>
      </c>
      <c r="DK48" s="84">
        <v>127890.88790932391</v>
      </c>
      <c r="DL48" s="84">
        <v>0</v>
      </c>
      <c r="DM48" s="84">
        <f t="shared" si="0"/>
        <v>5400000</v>
      </c>
      <c r="DN48" s="116">
        <f t="shared" si="1"/>
        <v>0</v>
      </c>
      <c r="DO48" s="116">
        <f t="shared" si="2"/>
        <v>0</v>
      </c>
      <c r="DP48" s="116">
        <f t="shared" si="3"/>
        <v>15.900000000000002</v>
      </c>
      <c r="DQ48" s="116">
        <f t="shared" si="4"/>
        <v>11.136363636363637</v>
      </c>
      <c r="DR48" s="116">
        <f t="shared" si="5"/>
        <v>3</v>
      </c>
    </row>
    <row r="49" spans="1:122" x14ac:dyDescent="0.25">
      <c r="A49" s="76">
        <v>416</v>
      </c>
      <c r="B49" s="76" t="s">
        <v>188</v>
      </c>
      <c r="C49" s="77" t="s">
        <v>152</v>
      </c>
      <c r="D49" s="41">
        <v>8</v>
      </c>
      <c r="E49" s="78">
        <v>295</v>
      </c>
      <c r="F49" s="78">
        <v>268.6502057613169</v>
      </c>
      <c r="G49" s="115">
        <f>'[8]FY20 Initial Budget Allocat (2)'!G49/'FY20 Initial Budget Allocat FTE'!G$121</f>
        <v>1</v>
      </c>
      <c r="H49" s="115">
        <f>'[8]FY20 Initial Budget Allocat (2)'!H49/'FY20 Initial Budget Allocat FTE'!H$121</f>
        <v>1</v>
      </c>
      <c r="I49" s="115">
        <f>'[8]FY20 Initial Budget Allocat (2)'!I49/'FY20 Initial Budget Allocat FTE'!I$121</f>
        <v>1</v>
      </c>
      <c r="J49" s="115">
        <f>'[8]FY20 Initial Budget Allocat (2)'!J49/'FY20 Initial Budget Allocat FTE'!J$121</f>
        <v>1</v>
      </c>
      <c r="K49" s="115">
        <f>'[8]FY20 Initial Budget Allocat (2)'!K49/'FY20 Initial Budget Allocat FTE'!K$121</f>
        <v>0</v>
      </c>
      <c r="L49" s="115">
        <f>'[8]FY20 Initial Budget Allocat (2)'!L49/'FY20 Initial Budget Allocat FTE'!L$121</f>
        <v>0.5</v>
      </c>
      <c r="M49" s="115">
        <f>'[8]FY20 Initial Budget Allocat (2)'!M49/'FY20 Initial Budget Allocat FTE'!M$121</f>
        <v>1</v>
      </c>
      <c r="N49" s="115">
        <f>'[8]FY20 Initial Budget Allocat (2)'!N49/'FY20 Initial Budget Allocat FTE'!N$121</f>
        <v>0</v>
      </c>
      <c r="O49" s="115">
        <f>'[8]FY20 Initial Budget Allocat (2)'!O49/'FY20 Initial Budget Allocat FTE'!O$121</f>
        <v>0</v>
      </c>
      <c r="P49" s="115">
        <f>'[8]FY20 Initial Budget Allocat (2)'!P49/'FY20 Initial Budget Allocat FTE'!P$121</f>
        <v>0</v>
      </c>
      <c r="Q49" s="115">
        <f>'[8]FY20 Initial Budget Allocat (2)'!Q49/'FY20 Initial Budget Allocat FTE'!Q$121</f>
        <v>1</v>
      </c>
      <c r="R49" s="115">
        <f>'[8]FY20 Initial Budget Allocat (2)'!R49/'FY20 Initial Budget Allocat FTE'!R$121</f>
        <v>1</v>
      </c>
      <c r="S49" s="115">
        <f>'[8]FY20 Initial Budget Allocat (2)'!S49/'FY20 Initial Budget Allocat FTE'!S$121</f>
        <v>1</v>
      </c>
      <c r="T49" s="115">
        <f>'[8]FY20 Initial Budget Allocat (2)'!T49/'FY20 Initial Budget Allocat FTE'!T$121</f>
        <v>3</v>
      </c>
      <c r="U49" s="115">
        <f>'[8]FY20 Initial Budget Allocat (2)'!U49/'FY20 Initial Budget Allocat FTE'!U$121</f>
        <v>0.5</v>
      </c>
      <c r="V49" s="115">
        <f>'[8]FY20 Initial Budget Allocat (2)'!V49/'FY20 Initial Budget Allocat FTE'!V$121</f>
        <v>0</v>
      </c>
      <c r="W49" s="115">
        <f>'[8]FY20 Initial Budget Allocat (2)'!W49/'FY20 Initial Budget Allocat FTE'!W$121</f>
        <v>0</v>
      </c>
      <c r="X49" s="115">
        <f>'[8]FY20 Initial Budget Allocat (2)'!X49/'FY20 Initial Budget Allocat FTE'!X$121</f>
        <v>0</v>
      </c>
      <c r="Y49" s="115">
        <f>'[8]FY20 Initial Budget Allocat (2)'!Y49/'FY20 Initial Budget Allocat FTE'!Y$121</f>
        <v>0</v>
      </c>
      <c r="Z49" s="115">
        <f>'[8]FY20 Initial Budget Allocat (2)'!Z49/'FY20 Initial Budget Allocat FTE'!Z$121</f>
        <v>0</v>
      </c>
      <c r="AA49" s="115">
        <f>'[8]FY20 Initial Budget Allocat (2)'!AA49/'FY20 Initial Budget Allocat FTE'!AA$121</f>
        <v>0</v>
      </c>
      <c r="AB49" s="115">
        <f>'[8]FY20 Initial Budget Allocat (2)'!AB49/'FY20 Initial Budget Allocat FTE'!AB$121</f>
        <v>0</v>
      </c>
      <c r="AC49" s="115">
        <f>'[8]FY20 Initial Budget Allocat (2)'!AC49/'FY20 Initial Budget Allocat FTE'!AC$121</f>
        <v>0</v>
      </c>
      <c r="AD49" s="115">
        <f>'[8]FY20 Initial Budget Allocat (2)'!AD49/'FY20 Initial Budget Allocat FTE'!AD$121</f>
        <v>0</v>
      </c>
      <c r="AE49" s="115">
        <f>'[8]FY20 Initial Budget Allocat (2)'!AE49/'FY20 Initial Budget Allocat FTE'!AE$121</f>
        <v>0</v>
      </c>
      <c r="AF49" s="115">
        <f>'[8]FY20 Initial Budget Allocat (2)'!AF49/'FY20 Initial Budget Allocat FTE'!AF$121</f>
        <v>0</v>
      </c>
      <c r="AG49" s="115">
        <f>'[8]FY20 Initial Budget Allocat (2)'!AG49/'FY20 Initial Budget Allocat FTE'!AG$121</f>
        <v>0</v>
      </c>
      <c r="AH49" s="115">
        <f>'[8]FY20 Initial Budget Allocat (2)'!AH49/'FY20 Initial Budget Allocat FTE'!AH$121</f>
        <v>0</v>
      </c>
      <c r="AI49" s="115">
        <f>'[8]FY20 Initial Budget Allocat (2)'!AI49/'FY20 Initial Budget Allocat FTE'!AI$121</f>
        <v>0</v>
      </c>
      <c r="AJ49" s="115">
        <f>'[8]FY20 Initial Budget Allocat (2)'!AJ49/'FY20 Initial Budget Allocat FTE'!AJ$121</f>
        <v>0</v>
      </c>
      <c r="AK49" s="115">
        <f>'[8]FY20 Initial Budget Allocat (2)'!AK49/'FY20 Initial Budget Allocat FTE'!AK$121</f>
        <v>0</v>
      </c>
      <c r="AL49" s="115">
        <f>'[8]FY20 Initial Budget Allocat (2)'!AL49/'FY20 Initial Budget Allocat FTE'!AL$121</f>
        <v>0</v>
      </c>
      <c r="AM49" s="115">
        <f>'[8]FY20 Initial Budget Allocat (2)'!AM49/'FY20 Initial Budget Allocat FTE'!AM$121</f>
        <v>0</v>
      </c>
      <c r="AN49" s="115">
        <f>'[8]FY20 Initial Budget Allocat (2)'!AN49/'FY20 Initial Budget Allocat FTE'!AN$121</f>
        <v>4.5</v>
      </c>
      <c r="AO49" s="115">
        <f>'[8]FY20 Initial Budget Allocat (2)'!AO49/'FY20 Initial Budget Allocat FTE'!AO$121</f>
        <v>4.5</v>
      </c>
      <c r="AP49" s="115">
        <f>'[8]FY20 Initial Budget Allocat (2)'!AP49/'FY20 Initial Budget Allocat FTE'!AP$121</f>
        <v>4.3</v>
      </c>
      <c r="AQ49" s="115">
        <f>'[8]FY20 Initial Budget Allocat (2)'!AQ49/'FY20 Initial Budget Allocat FTE'!AQ$121</f>
        <v>0</v>
      </c>
      <c r="AR49" s="115">
        <f>'[8]FY20 Initial Budget Allocat (2)'!AR49/'FY20 Initial Budget Allocat FTE'!AR$121</f>
        <v>0</v>
      </c>
      <c r="AS49" s="115">
        <f>'[8]FY20 Initial Budget Allocat (2)'!AS49/'FY20 Initial Budget Allocat FTE'!AS$121</f>
        <v>0</v>
      </c>
      <c r="AT49" s="115">
        <f>'[8]FY20 Initial Budget Allocat (2)'!AT49/'FY20 Initial Budget Allocat FTE'!AT$121</f>
        <v>0</v>
      </c>
      <c r="AU49" s="115">
        <f>'[8]FY20 Initial Budget Allocat (2)'!AU49/'FY20 Initial Budget Allocat FTE'!AU$121</f>
        <v>0</v>
      </c>
      <c r="AV49" s="115">
        <f>'[8]FY20 Initial Budget Allocat (2)'!AV49/'FY20 Initial Budget Allocat FTE'!AV$121</f>
        <v>0</v>
      </c>
      <c r="AW49" s="115">
        <f>'[8]FY20 Initial Budget Allocat (2)'!AW49/'FY20 Initial Budget Allocat FTE'!AW$121</f>
        <v>0</v>
      </c>
      <c r="AX49" s="115">
        <f>'[8]FY20 Initial Budget Allocat (2)'!AX49/'FY20 Initial Budget Allocat FTE'!AX$121</f>
        <v>1</v>
      </c>
      <c r="AY49" s="115">
        <f>'[8]FY20 Initial Budget Allocat (2)'!AY49/'FY20 Initial Budget Allocat FTE'!AY$121</f>
        <v>3.0000000000000004</v>
      </c>
      <c r="AZ49" s="115">
        <f>'[8]FY20 Initial Budget Allocat (2)'!AZ49/'FY20 Initial Budget Allocat FTE'!AZ$121</f>
        <v>6.0000000000000009</v>
      </c>
      <c r="BA49" s="115">
        <f>'[8]FY20 Initial Budget Allocat (2)'!BA49/'FY20 Initial Budget Allocat FTE'!BA$121</f>
        <v>2</v>
      </c>
      <c r="BB49" s="115">
        <f>'[8]FY20 Initial Budget Allocat (2)'!BB49/'FY20 Initial Budget Allocat FTE'!BB$121</f>
        <v>1</v>
      </c>
      <c r="BC49" s="115">
        <f>'[8]FY20 Initial Budget Allocat (2)'!BC49/'FY20 Initial Budget Allocat FTE'!BC$121</f>
        <v>0</v>
      </c>
      <c r="BD49" s="115">
        <f>'[8]FY20 Initial Budget Allocat (2)'!BD49/'FY20 Initial Budget Allocat FTE'!BD$121</f>
        <v>0</v>
      </c>
      <c r="BE49" s="115">
        <f>'[8]FY20 Initial Budget Allocat (2)'!BE49/'FY20 Initial Budget Allocat FTE'!BE$121</f>
        <v>0</v>
      </c>
      <c r="BF49" s="115">
        <f>'[8]FY20 Initial Budget Allocat (2)'!BF49/'FY20 Initial Budget Allocat FTE'!BF$121</f>
        <v>0</v>
      </c>
      <c r="BG49" s="115">
        <f>'[8]FY20 Initial Budget Allocat (2)'!BG49/'FY20 Initial Budget Allocat FTE'!BG$121</f>
        <v>0</v>
      </c>
      <c r="BH49" s="115">
        <f>'[8]FY20 Initial Budget Allocat (2)'!BH49/'FY20 Initial Budget Allocat FTE'!BH$121</f>
        <v>0</v>
      </c>
      <c r="BI49" s="115">
        <f>'[8]FY20 Initial Budget Allocat (2)'!BI49/'FY20 Initial Budget Allocat FTE'!BI$121</f>
        <v>0</v>
      </c>
      <c r="BJ49" s="79"/>
      <c r="BK49" s="79">
        <v>0</v>
      </c>
      <c r="BL49" s="79"/>
      <c r="BM49" s="79">
        <v>121224.23</v>
      </c>
      <c r="BN49" s="79">
        <v>1928.99</v>
      </c>
      <c r="BO49" s="79">
        <v>0</v>
      </c>
      <c r="BP49" s="115">
        <f>'[8]FY20 Initial Budget Allocat (2)'!BP49/'FY20 Initial Budget Allocat FTE'!BP$121</f>
        <v>0</v>
      </c>
      <c r="BQ49" s="115">
        <f>'[8]FY20 Initial Budget Allocat (2)'!BQ49/'FY20 Initial Budget Allocat FTE'!BQ$121</f>
        <v>1</v>
      </c>
      <c r="BR49" s="115">
        <f>'[8]FY20 Initial Budget Allocat (2)'!BR49/'FY20 Initial Budget Allocat FTE'!BR$121</f>
        <v>1</v>
      </c>
      <c r="BS49" s="115">
        <f>'[8]FY20 Initial Budget Allocat (2)'!BS49/'FY20 Initial Budget Allocat FTE'!BS$121</f>
        <v>0</v>
      </c>
      <c r="BT49" s="115">
        <f>'[8]FY20 Initial Budget Allocat (2)'!BT49/'FY20 Initial Budget Allocat FTE'!BT$121</f>
        <v>0</v>
      </c>
      <c r="BU49" s="115">
        <f>'[8]FY20 Initial Budget Allocat (2)'!BU49/'FY20 Initial Budget Allocat FTE'!BU$121</f>
        <v>0</v>
      </c>
      <c r="BV49" s="115">
        <f>'[8]FY20 Initial Budget Allocat (2)'!BV49/'FY20 Initial Budget Allocat FTE'!BV$121</f>
        <v>0</v>
      </c>
      <c r="BW49" s="80">
        <v>0</v>
      </c>
      <c r="BX49" s="80">
        <v>0</v>
      </c>
      <c r="BY49" s="80">
        <v>0</v>
      </c>
      <c r="BZ49" s="80">
        <v>0</v>
      </c>
      <c r="CA49" s="115">
        <f>'[8]FY20 Initial Budget Allocat (2)'!CA49/'FY20 Initial Budget Allocat FTE'!CA$121</f>
        <v>0</v>
      </c>
      <c r="CB49" s="115">
        <f>'[8]FY20 Initial Budget Allocat (2)'!CB49/'FY20 Initial Budget Allocat FTE'!CB$121</f>
        <v>0</v>
      </c>
      <c r="CC49" s="80">
        <v>0</v>
      </c>
      <c r="CD49" s="115">
        <f>'[8]FY20 Initial Budget Allocat (2)'!CD49/'FY20 Initial Budget Allocat FTE'!CD$121</f>
        <v>0</v>
      </c>
      <c r="CE49" s="115">
        <f>'[8]FY20 Initial Budget Allocat (2)'!CE49/'FY20 Initial Budget Allocat FTE'!CE$121</f>
        <v>0</v>
      </c>
      <c r="CF49" s="115">
        <f>'[8]FY20 Initial Budget Allocat (2)'!CF49/'FY20 Initial Budget Allocat FTE'!CF$121</f>
        <v>0</v>
      </c>
      <c r="CG49" s="115">
        <f>'[8]FY20 Initial Budget Allocat (2)'!CG49/'FY20 Initial Budget Allocat FTE'!CG$121</f>
        <v>0</v>
      </c>
      <c r="CH49" s="115">
        <f>'[8]FY20 Initial Budget Allocat (2)'!CH49/'FY20 Initial Budget Allocat FTE'!CH$121</f>
        <v>0</v>
      </c>
      <c r="CI49" s="115">
        <f>'[8]FY20 Initial Budget Allocat (2)'!CI49/'FY20 Initial Budget Allocat FTE'!CI$121</f>
        <v>2</v>
      </c>
      <c r="CJ49" s="115">
        <f>'[8]FY20 Initial Budget Allocat (2)'!CJ49/'FY20 Initial Budget Allocat FTE'!CJ$121</f>
        <v>0</v>
      </c>
      <c r="CK49" s="79">
        <v>23000</v>
      </c>
      <c r="CL49" s="79">
        <v>5000</v>
      </c>
      <c r="CM49" s="79">
        <v>249079.28</v>
      </c>
      <c r="CN49" s="79">
        <v>100000</v>
      </c>
      <c r="CO49" s="115">
        <f>'[8]FY20 Initial Budget Allocat (2)'!CO49/'FY20 Initial Budget Allocat FTE'!CO$121</f>
        <v>0</v>
      </c>
      <c r="CP49" s="79">
        <v>0</v>
      </c>
      <c r="CQ49" s="79">
        <v>10746.008230452677</v>
      </c>
      <c r="CR49" s="79">
        <v>0</v>
      </c>
      <c r="CS49" s="79">
        <v>24921.590909090908</v>
      </c>
      <c r="CT49" s="115">
        <f>'[8]FY20 Initial Budget Allocat (2)'!CT49/'FY20 Initial Budget Allocat FTE'!CT$121</f>
        <v>0</v>
      </c>
      <c r="CU49" s="115">
        <f>'[8]FY20 Initial Budget Allocat (2)'!CU49/'FY20 Initial Budget Allocat FTE'!CU$121</f>
        <v>0</v>
      </c>
      <c r="CV49" s="79"/>
      <c r="CW49" s="79">
        <v>0</v>
      </c>
      <c r="CX49" s="115">
        <f>'[8]FY20 Initial Budget Allocat (2)'!CX49/'FY20 Initial Budget Allocat FTE'!CX$121</f>
        <v>0</v>
      </c>
      <c r="CY49" s="79">
        <v>0</v>
      </c>
      <c r="CZ49" s="79">
        <v>0</v>
      </c>
      <c r="DA49" s="79">
        <v>29500</v>
      </c>
      <c r="DB49" s="79">
        <v>68374.941897216733</v>
      </c>
      <c r="DC49" s="82">
        <v>0</v>
      </c>
      <c r="DD49" s="79">
        <v>0</v>
      </c>
      <c r="DE49" s="79"/>
      <c r="DF49" s="79">
        <v>54250</v>
      </c>
      <c r="DG49" s="79">
        <v>0</v>
      </c>
      <c r="DH49" s="83">
        <v>0</v>
      </c>
      <c r="DI49" s="79">
        <v>16389.545227478386</v>
      </c>
      <c r="DJ49" s="79">
        <v>4834915.8421061244</v>
      </c>
      <c r="DK49" s="84">
        <v>109114.02789387573</v>
      </c>
      <c r="DL49" s="84">
        <v>59311.7</v>
      </c>
      <c r="DM49" s="84">
        <f t="shared" si="0"/>
        <v>5003341.57</v>
      </c>
      <c r="DN49" s="116">
        <f t="shared" si="1"/>
        <v>0</v>
      </c>
      <c r="DO49" s="116">
        <f t="shared" si="2"/>
        <v>0</v>
      </c>
      <c r="DP49" s="116">
        <f t="shared" si="3"/>
        <v>13.3</v>
      </c>
      <c r="DQ49" s="116">
        <f t="shared" si="4"/>
        <v>10</v>
      </c>
      <c r="DR49" s="116">
        <f t="shared" si="5"/>
        <v>2</v>
      </c>
    </row>
    <row r="50" spans="1:122" x14ac:dyDescent="0.25">
      <c r="A50" s="76">
        <v>421</v>
      </c>
      <c r="B50" s="76" t="s">
        <v>189</v>
      </c>
      <c r="C50" s="77" t="s">
        <v>152</v>
      </c>
      <c r="D50" s="41">
        <v>7</v>
      </c>
      <c r="E50" s="78">
        <v>548</v>
      </c>
      <c r="F50" s="78">
        <v>393.43518518518522</v>
      </c>
      <c r="G50" s="115">
        <f>'[8]FY20 Initial Budget Allocat (2)'!G50/'FY20 Initial Budget Allocat FTE'!G$121</f>
        <v>1</v>
      </c>
      <c r="H50" s="115">
        <f>'[8]FY20 Initial Budget Allocat (2)'!H50/'FY20 Initial Budget Allocat FTE'!H$121</f>
        <v>1</v>
      </c>
      <c r="I50" s="115">
        <f>'[8]FY20 Initial Budget Allocat (2)'!I50/'FY20 Initial Budget Allocat FTE'!I$121</f>
        <v>1.8</v>
      </c>
      <c r="J50" s="115">
        <f>'[8]FY20 Initial Budget Allocat (2)'!J50/'FY20 Initial Budget Allocat FTE'!J$121</f>
        <v>1.3999999999999997</v>
      </c>
      <c r="K50" s="115">
        <f>'[8]FY20 Initial Budget Allocat (2)'!K50/'FY20 Initial Budget Allocat FTE'!K$121</f>
        <v>0</v>
      </c>
      <c r="L50" s="115">
        <f>'[8]FY20 Initial Budget Allocat (2)'!L50/'FY20 Initial Budget Allocat FTE'!L$121</f>
        <v>1</v>
      </c>
      <c r="M50" s="115">
        <f>'[8]FY20 Initial Budget Allocat (2)'!M50/'FY20 Initial Budget Allocat FTE'!M$121</f>
        <v>1</v>
      </c>
      <c r="N50" s="115">
        <f>'[8]FY20 Initial Budget Allocat (2)'!N50/'FY20 Initial Budget Allocat FTE'!N$121</f>
        <v>1.4</v>
      </c>
      <c r="O50" s="115">
        <f>'[8]FY20 Initial Budget Allocat (2)'!O50/'FY20 Initial Budget Allocat FTE'!O$121</f>
        <v>0</v>
      </c>
      <c r="P50" s="115">
        <f>'[8]FY20 Initial Budget Allocat (2)'!P50/'FY20 Initial Budget Allocat FTE'!P$121</f>
        <v>0</v>
      </c>
      <c r="Q50" s="115">
        <f>'[8]FY20 Initial Budget Allocat (2)'!Q50/'FY20 Initial Budget Allocat FTE'!Q$121</f>
        <v>1</v>
      </c>
      <c r="R50" s="115">
        <f>'[8]FY20 Initial Budget Allocat (2)'!R50/'FY20 Initial Budget Allocat FTE'!R$121</f>
        <v>1</v>
      </c>
      <c r="S50" s="115">
        <f>'[8]FY20 Initial Budget Allocat (2)'!S50/'FY20 Initial Budget Allocat FTE'!S$121</f>
        <v>1</v>
      </c>
      <c r="T50" s="115">
        <f>'[8]FY20 Initial Budget Allocat (2)'!T50/'FY20 Initial Budget Allocat FTE'!T$121</f>
        <v>4</v>
      </c>
      <c r="U50" s="115">
        <f>'[8]FY20 Initial Budget Allocat (2)'!U50/'FY20 Initial Budget Allocat FTE'!U$121</f>
        <v>1</v>
      </c>
      <c r="V50" s="115">
        <f>'[8]FY20 Initial Budget Allocat (2)'!V50/'FY20 Initial Budget Allocat FTE'!V$121</f>
        <v>0</v>
      </c>
      <c r="W50" s="115">
        <f>'[8]FY20 Initial Budget Allocat (2)'!W50/'FY20 Initial Budget Allocat FTE'!W$121</f>
        <v>0</v>
      </c>
      <c r="X50" s="115">
        <f>'[8]FY20 Initial Budget Allocat (2)'!X50/'FY20 Initial Budget Allocat FTE'!X$121</f>
        <v>0</v>
      </c>
      <c r="Y50" s="115">
        <f>'[8]FY20 Initial Budget Allocat (2)'!Y50/'FY20 Initial Budget Allocat FTE'!Y$121</f>
        <v>0</v>
      </c>
      <c r="Z50" s="115">
        <f>'[8]FY20 Initial Budget Allocat (2)'!Z50/'FY20 Initial Budget Allocat FTE'!Z$121</f>
        <v>0</v>
      </c>
      <c r="AA50" s="115">
        <f>'[8]FY20 Initial Budget Allocat (2)'!AA50/'FY20 Initial Budget Allocat FTE'!AA$121</f>
        <v>0</v>
      </c>
      <c r="AB50" s="115">
        <f>'[8]FY20 Initial Budget Allocat (2)'!AB50/'FY20 Initial Budget Allocat FTE'!AB$121</f>
        <v>0</v>
      </c>
      <c r="AC50" s="115">
        <f>'[8]FY20 Initial Budget Allocat (2)'!AC50/'FY20 Initial Budget Allocat FTE'!AC$121</f>
        <v>0</v>
      </c>
      <c r="AD50" s="115">
        <f>'[8]FY20 Initial Budget Allocat (2)'!AD50/'FY20 Initial Budget Allocat FTE'!AD$121</f>
        <v>0</v>
      </c>
      <c r="AE50" s="115">
        <f>'[8]FY20 Initial Budget Allocat (2)'!AE50/'FY20 Initial Budget Allocat FTE'!AE$121</f>
        <v>0</v>
      </c>
      <c r="AF50" s="115">
        <f>'[8]FY20 Initial Budget Allocat (2)'!AF50/'FY20 Initial Budget Allocat FTE'!AF$121</f>
        <v>0</v>
      </c>
      <c r="AG50" s="115">
        <f>'[8]FY20 Initial Budget Allocat (2)'!AG50/'FY20 Initial Budget Allocat FTE'!AG$121</f>
        <v>0</v>
      </c>
      <c r="AH50" s="115">
        <f>'[8]FY20 Initial Budget Allocat (2)'!AH50/'FY20 Initial Budget Allocat FTE'!AH$121</f>
        <v>0</v>
      </c>
      <c r="AI50" s="115">
        <f>'[8]FY20 Initial Budget Allocat (2)'!AI50/'FY20 Initial Budget Allocat FTE'!AI$121</f>
        <v>0</v>
      </c>
      <c r="AJ50" s="115">
        <f>'[8]FY20 Initial Budget Allocat (2)'!AJ50/'FY20 Initial Budget Allocat FTE'!AJ$121</f>
        <v>0</v>
      </c>
      <c r="AK50" s="115">
        <f>'[8]FY20 Initial Budget Allocat (2)'!AK50/'FY20 Initial Budget Allocat FTE'!AK$121</f>
        <v>0</v>
      </c>
      <c r="AL50" s="115">
        <f>'[8]FY20 Initial Budget Allocat (2)'!AL50/'FY20 Initial Budget Allocat FTE'!AL$121</f>
        <v>0</v>
      </c>
      <c r="AM50" s="115">
        <f>'[8]FY20 Initial Budget Allocat (2)'!AM50/'FY20 Initial Budget Allocat FTE'!AM$121</f>
        <v>0</v>
      </c>
      <c r="AN50" s="115">
        <f>'[8]FY20 Initial Budget Allocat (2)'!AN50/'FY20 Initial Budget Allocat FTE'!AN$121</f>
        <v>9.1999999999999993</v>
      </c>
      <c r="AO50" s="115">
        <f>'[8]FY20 Initial Budget Allocat (2)'!AO50/'FY20 Initial Budget Allocat FTE'!AO$121</f>
        <v>9.1</v>
      </c>
      <c r="AP50" s="115">
        <f>'[8]FY20 Initial Budget Allocat (2)'!AP50/'FY20 Initial Budget Allocat FTE'!AP$121</f>
        <v>6.6</v>
      </c>
      <c r="AQ50" s="115">
        <f>'[8]FY20 Initial Budget Allocat (2)'!AQ50/'FY20 Initial Budget Allocat FTE'!AQ$121</f>
        <v>0</v>
      </c>
      <c r="AR50" s="115">
        <f>'[8]FY20 Initial Budget Allocat (2)'!AR50/'FY20 Initial Budget Allocat FTE'!AR$121</f>
        <v>0</v>
      </c>
      <c r="AS50" s="115">
        <f>'[8]FY20 Initial Budget Allocat (2)'!AS50/'FY20 Initial Budget Allocat FTE'!AS$121</f>
        <v>0</v>
      </c>
      <c r="AT50" s="115">
        <f>'[8]FY20 Initial Budget Allocat (2)'!AT50/'FY20 Initial Budget Allocat FTE'!AT$121</f>
        <v>0</v>
      </c>
      <c r="AU50" s="115">
        <f>'[8]FY20 Initial Budget Allocat (2)'!AU50/'FY20 Initial Budget Allocat FTE'!AU$121</f>
        <v>0</v>
      </c>
      <c r="AV50" s="115">
        <f>'[8]FY20 Initial Budget Allocat (2)'!AV50/'FY20 Initial Budget Allocat FTE'!AV$121</f>
        <v>0</v>
      </c>
      <c r="AW50" s="115">
        <f>'[8]FY20 Initial Budget Allocat (2)'!AW50/'FY20 Initial Budget Allocat FTE'!AW$121</f>
        <v>0</v>
      </c>
      <c r="AX50" s="115">
        <f>'[8]FY20 Initial Budget Allocat (2)'!AX50/'FY20 Initial Budget Allocat FTE'!AX$121</f>
        <v>1</v>
      </c>
      <c r="AY50" s="115">
        <f>'[8]FY20 Initial Budget Allocat (2)'!AY50/'FY20 Initial Budget Allocat FTE'!AY$121</f>
        <v>4</v>
      </c>
      <c r="AZ50" s="115">
        <f>'[8]FY20 Initial Budget Allocat (2)'!AZ50/'FY20 Initial Budget Allocat FTE'!AZ$121</f>
        <v>9</v>
      </c>
      <c r="BA50" s="115">
        <f>'[8]FY20 Initial Budget Allocat (2)'!BA50/'FY20 Initial Budget Allocat FTE'!BA$121</f>
        <v>4</v>
      </c>
      <c r="BB50" s="115">
        <f>'[8]FY20 Initial Budget Allocat (2)'!BB50/'FY20 Initial Budget Allocat FTE'!BB$121</f>
        <v>2</v>
      </c>
      <c r="BC50" s="115">
        <f>'[8]FY20 Initial Budget Allocat (2)'!BC50/'FY20 Initial Budget Allocat FTE'!BC$121</f>
        <v>0</v>
      </c>
      <c r="BD50" s="115">
        <f>'[8]FY20 Initial Budget Allocat (2)'!BD50/'FY20 Initial Budget Allocat FTE'!BD$121</f>
        <v>1</v>
      </c>
      <c r="BE50" s="115">
        <f>'[8]FY20 Initial Budget Allocat (2)'!BE50/'FY20 Initial Budget Allocat FTE'!BE$121</f>
        <v>0</v>
      </c>
      <c r="BF50" s="115">
        <f>'[8]FY20 Initial Budget Allocat (2)'!BF50/'FY20 Initial Budget Allocat FTE'!BF$121</f>
        <v>0</v>
      </c>
      <c r="BG50" s="115">
        <f>'[8]FY20 Initial Budget Allocat (2)'!BG50/'FY20 Initial Budget Allocat FTE'!BG$121</f>
        <v>0</v>
      </c>
      <c r="BH50" s="115">
        <f>'[8]FY20 Initial Budget Allocat (2)'!BH50/'FY20 Initial Budget Allocat FTE'!BH$121</f>
        <v>0</v>
      </c>
      <c r="BI50" s="115">
        <f>'[8]FY20 Initial Budget Allocat (2)'!BI50/'FY20 Initial Budget Allocat FTE'!BI$121</f>
        <v>0</v>
      </c>
      <c r="BJ50" s="79"/>
      <c r="BK50" s="79">
        <v>0</v>
      </c>
      <c r="BL50" s="79"/>
      <c r="BM50" s="79">
        <v>183975.59</v>
      </c>
      <c r="BN50" s="79">
        <v>2927.53</v>
      </c>
      <c r="BO50" s="79">
        <v>0</v>
      </c>
      <c r="BP50" s="115">
        <f>'[8]FY20 Initial Budget Allocat (2)'!BP50/'FY20 Initial Budget Allocat FTE'!BP$121</f>
        <v>0</v>
      </c>
      <c r="BQ50" s="115">
        <f>'[8]FY20 Initial Budget Allocat (2)'!BQ50/'FY20 Initial Budget Allocat FTE'!BQ$121</f>
        <v>1</v>
      </c>
      <c r="BR50" s="115">
        <f>'[8]FY20 Initial Budget Allocat (2)'!BR50/'FY20 Initial Budget Allocat FTE'!BR$121</f>
        <v>1</v>
      </c>
      <c r="BS50" s="115">
        <f>'[8]FY20 Initial Budget Allocat (2)'!BS50/'FY20 Initial Budget Allocat FTE'!BS$121</f>
        <v>0</v>
      </c>
      <c r="BT50" s="115">
        <f>'[8]FY20 Initial Budget Allocat (2)'!BT50/'FY20 Initial Budget Allocat FTE'!BT$121</f>
        <v>0</v>
      </c>
      <c r="BU50" s="115">
        <f>'[8]FY20 Initial Budget Allocat (2)'!BU50/'FY20 Initial Budget Allocat FTE'!BU$121</f>
        <v>0</v>
      </c>
      <c r="BV50" s="115">
        <f>'[8]FY20 Initial Budget Allocat (2)'!BV50/'FY20 Initial Budget Allocat FTE'!BV$121</f>
        <v>0</v>
      </c>
      <c r="BW50" s="80">
        <v>0</v>
      </c>
      <c r="BX50" s="80">
        <v>0</v>
      </c>
      <c r="BY50" s="80">
        <v>0</v>
      </c>
      <c r="BZ50" s="80">
        <v>0</v>
      </c>
      <c r="CA50" s="115">
        <f>'[8]FY20 Initial Budget Allocat (2)'!CA50/'FY20 Initial Budget Allocat FTE'!CA$121</f>
        <v>0</v>
      </c>
      <c r="CB50" s="115">
        <f>'[8]FY20 Initial Budget Allocat (2)'!CB50/'FY20 Initial Budget Allocat FTE'!CB$121</f>
        <v>0</v>
      </c>
      <c r="CC50" s="80">
        <v>0</v>
      </c>
      <c r="CD50" s="115">
        <f>'[8]FY20 Initial Budget Allocat (2)'!CD50/'FY20 Initial Budget Allocat FTE'!CD$121</f>
        <v>0</v>
      </c>
      <c r="CE50" s="115">
        <f>'[8]FY20 Initial Budget Allocat (2)'!CE50/'FY20 Initial Budget Allocat FTE'!CE$121</f>
        <v>0</v>
      </c>
      <c r="CF50" s="115">
        <f>'[8]FY20 Initial Budget Allocat (2)'!CF50/'FY20 Initial Budget Allocat FTE'!CF$121</f>
        <v>0</v>
      </c>
      <c r="CG50" s="115">
        <f>'[8]FY20 Initial Budget Allocat (2)'!CG50/'FY20 Initial Budget Allocat FTE'!CG$121</f>
        <v>0</v>
      </c>
      <c r="CH50" s="115">
        <f>'[8]FY20 Initial Budget Allocat (2)'!CH50/'FY20 Initial Budget Allocat FTE'!CH$121</f>
        <v>0</v>
      </c>
      <c r="CI50" s="115">
        <f>'[8]FY20 Initial Budget Allocat (2)'!CI50/'FY20 Initial Budget Allocat FTE'!CI$121</f>
        <v>3.0000000000000004</v>
      </c>
      <c r="CJ50" s="115">
        <f>'[8]FY20 Initial Budget Allocat (2)'!CJ50/'FY20 Initial Budget Allocat FTE'!CJ$121</f>
        <v>0</v>
      </c>
      <c r="CK50" s="79">
        <v>23000</v>
      </c>
      <c r="CL50" s="79">
        <v>5000</v>
      </c>
      <c r="CM50" s="79">
        <v>388291.54000000004</v>
      </c>
      <c r="CN50" s="79">
        <v>100000</v>
      </c>
      <c r="CO50" s="115">
        <f>'[8]FY20 Initial Budget Allocat (2)'!CO50/'FY20 Initial Budget Allocat FTE'!CO$121</f>
        <v>0</v>
      </c>
      <c r="CP50" s="79">
        <v>0</v>
      </c>
      <c r="CQ50" s="79">
        <v>7868.7037037037044</v>
      </c>
      <c r="CR50" s="79">
        <v>0</v>
      </c>
      <c r="CS50" s="79">
        <v>40095.988888888889</v>
      </c>
      <c r="CT50" s="115">
        <f>'[8]FY20 Initial Budget Allocat (2)'!CT50/'FY20 Initial Budget Allocat FTE'!CT$121</f>
        <v>0</v>
      </c>
      <c r="CU50" s="115">
        <f>'[8]FY20 Initial Budget Allocat (2)'!CU50/'FY20 Initial Budget Allocat FTE'!CU$121</f>
        <v>0</v>
      </c>
      <c r="CV50" s="79"/>
      <c r="CW50" s="79">
        <v>0</v>
      </c>
      <c r="CX50" s="115">
        <f>'[8]FY20 Initial Budget Allocat (2)'!CX50/'FY20 Initial Budget Allocat FTE'!CX$121</f>
        <v>0</v>
      </c>
      <c r="CY50" s="79">
        <v>0</v>
      </c>
      <c r="CZ50" s="79">
        <v>0</v>
      </c>
      <c r="DA50" s="79">
        <v>54800</v>
      </c>
      <c r="DB50" s="79">
        <v>107015.51938338477</v>
      </c>
      <c r="DC50" s="82">
        <v>0</v>
      </c>
      <c r="DD50" s="79">
        <v>0</v>
      </c>
      <c r="DE50" s="79"/>
      <c r="DF50" s="79">
        <v>74550</v>
      </c>
      <c r="DG50" s="79">
        <v>0</v>
      </c>
      <c r="DH50" s="83">
        <v>0</v>
      </c>
      <c r="DI50" s="79">
        <v>13748.999163779979</v>
      </c>
      <c r="DJ50" s="79">
        <v>7534451.5417514294</v>
      </c>
      <c r="DK50" s="84">
        <v>218229.41824857052</v>
      </c>
      <c r="DL50" s="84">
        <v>0</v>
      </c>
      <c r="DM50" s="84">
        <f t="shared" si="0"/>
        <v>7752680.96</v>
      </c>
      <c r="DN50" s="116">
        <f t="shared" si="1"/>
        <v>0</v>
      </c>
      <c r="DO50" s="116">
        <f t="shared" si="2"/>
        <v>0</v>
      </c>
      <c r="DP50" s="116">
        <f t="shared" si="3"/>
        <v>24.9</v>
      </c>
      <c r="DQ50" s="116">
        <f t="shared" si="4"/>
        <v>15</v>
      </c>
      <c r="DR50" s="116">
        <f t="shared" si="5"/>
        <v>4</v>
      </c>
    </row>
    <row r="51" spans="1:122" x14ac:dyDescent="0.25">
      <c r="A51" s="76">
        <v>257</v>
      </c>
      <c r="B51" s="76" t="s">
        <v>371</v>
      </c>
      <c r="C51" s="77" t="s">
        <v>135</v>
      </c>
      <c r="D51" s="41">
        <v>8</v>
      </c>
      <c r="E51" s="78">
        <v>310</v>
      </c>
      <c r="F51" s="78">
        <v>278.1914191419142</v>
      </c>
      <c r="G51" s="115">
        <f>'[8]FY20 Initial Budget Allocat (2)'!G51/'FY20 Initial Budget Allocat FTE'!G$121</f>
        <v>1</v>
      </c>
      <c r="H51" s="115">
        <f>'[8]FY20 Initial Budget Allocat (2)'!H51/'FY20 Initial Budget Allocat FTE'!H$121</f>
        <v>1</v>
      </c>
      <c r="I51" s="115">
        <f>'[8]FY20 Initial Budget Allocat (2)'!I51/'FY20 Initial Budget Allocat FTE'!I$121</f>
        <v>0.8</v>
      </c>
      <c r="J51" s="115">
        <f>'[8]FY20 Initial Budget Allocat (2)'!J51/'FY20 Initial Budget Allocat FTE'!J$121</f>
        <v>0</v>
      </c>
      <c r="K51" s="115">
        <f>'[8]FY20 Initial Budget Allocat (2)'!K51/'FY20 Initial Budget Allocat FTE'!K$121</f>
        <v>0</v>
      </c>
      <c r="L51" s="115">
        <f>'[8]FY20 Initial Budget Allocat (2)'!L51/'FY20 Initial Budget Allocat FTE'!L$121</f>
        <v>1</v>
      </c>
      <c r="M51" s="115">
        <f>'[8]FY20 Initial Budget Allocat (2)'!M51/'FY20 Initial Budget Allocat FTE'!M$121</f>
        <v>1</v>
      </c>
      <c r="N51" s="115">
        <f>'[8]FY20 Initial Budget Allocat (2)'!N51/'FY20 Initial Budget Allocat FTE'!N$121</f>
        <v>0</v>
      </c>
      <c r="O51" s="115">
        <f>'[8]FY20 Initial Budget Allocat (2)'!O51/'FY20 Initial Budget Allocat FTE'!O$121</f>
        <v>0</v>
      </c>
      <c r="P51" s="115">
        <f>'[8]FY20 Initial Budget Allocat (2)'!P51/'FY20 Initial Budget Allocat FTE'!P$121</f>
        <v>0</v>
      </c>
      <c r="Q51" s="115">
        <f>'[8]FY20 Initial Budget Allocat (2)'!Q51/'FY20 Initial Budget Allocat FTE'!Q$121</f>
        <v>0</v>
      </c>
      <c r="R51" s="115">
        <f>'[8]FY20 Initial Budget Allocat (2)'!R51/'FY20 Initial Budget Allocat FTE'!R$121</f>
        <v>1</v>
      </c>
      <c r="S51" s="115">
        <f>'[8]FY20 Initial Budget Allocat (2)'!S51/'FY20 Initial Budget Allocat FTE'!S$121</f>
        <v>1</v>
      </c>
      <c r="T51" s="115">
        <f>'[8]FY20 Initial Budget Allocat (2)'!T51/'FY20 Initial Budget Allocat FTE'!T$121</f>
        <v>2</v>
      </c>
      <c r="U51" s="115">
        <f>'[8]FY20 Initial Budget Allocat (2)'!U51/'FY20 Initial Budget Allocat FTE'!U$121</f>
        <v>1</v>
      </c>
      <c r="V51" s="115">
        <f>'[8]FY20 Initial Budget Allocat (2)'!V51/'FY20 Initial Budget Allocat FTE'!V$121</f>
        <v>1</v>
      </c>
      <c r="W51" s="115">
        <f>'[8]FY20 Initial Budget Allocat (2)'!W51/'FY20 Initial Budget Allocat FTE'!W$121</f>
        <v>1</v>
      </c>
      <c r="X51" s="115">
        <f>'[8]FY20 Initial Budget Allocat (2)'!X51/'FY20 Initial Budget Allocat FTE'!X$121</f>
        <v>1</v>
      </c>
      <c r="Y51" s="115">
        <f>'[8]FY20 Initial Budget Allocat (2)'!Y51/'FY20 Initial Budget Allocat FTE'!Y$121</f>
        <v>4.5343756564623952E-15</v>
      </c>
      <c r="Z51" s="115">
        <f>'[8]FY20 Initial Budget Allocat (2)'!Z51/'FY20 Initial Budget Allocat FTE'!Z$121</f>
        <v>1.5000000000000002</v>
      </c>
      <c r="AA51" s="115">
        <f>'[8]FY20 Initial Budget Allocat (2)'!AA51/'FY20 Initial Budget Allocat FTE'!AA$121</f>
        <v>2</v>
      </c>
      <c r="AB51" s="115">
        <f>'[8]FY20 Initial Budget Allocat (2)'!AB51/'FY20 Initial Budget Allocat FTE'!AB$121</f>
        <v>2</v>
      </c>
      <c r="AC51" s="115">
        <f>'[8]FY20 Initial Budget Allocat (2)'!AC51/'FY20 Initial Budget Allocat FTE'!AC$121</f>
        <v>1</v>
      </c>
      <c r="AD51" s="115">
        <f>'[8]FY20 Initial Budget Allocat (2)'!AD51/'FY20 Initial Budget Allocat FTE'!AD$121</f>
        <v>1</v>
      </c>
      <c r="AE51" s="115">
        <f>'[8]FY20 Initial Budget Allocat (2)'!AE51/'FY20 Initial Budget Allocat FTE'!AE$121</f>
        <v>2</v>
      </c>
      <c r="AF51" s="115">
        <f>'[8]FY20 Initial Budget Allocat (2)'!AF51/'FY20 Initial Budget Allocat FTE'!AF$121</f>
        <v>2</v>
      </c>
      <c r="AG51" s="115">
        <f>'[8]FY20 Initial Budget Allocat (2)'!AG51/'FY20 Initial Budget Allocat FTE'!AG$121</f>
        <v>2</v>
      </c>
      <c r="AH51" s="115">
        <f>'[8]FY20 Initial Budget Allocat (2)'!AH51/'FY20 Initial Budget Allocat FTE'!AH$121</f>
        <v>2</v>
      </c>
      <c r="AI51" s="115">
        <f>'[8]FY20 Initial Budget Allocat (2)'!AI51/'FY20 Initial Budget Allocat FTE'!AI$121</f>
        <v>2</v>
      </c>
      <c r="AJ51" s="115">
        <f>'[8]FY20 Initial Budget Allocat (2)'!AJ51/'FY20 Initial Budget Allocat FTE'!AJ$121</f>
        <v>2</v>
      </c>
      <c r="AK51" s="115">
        <f>'[8]FY20 Initial Budget Allocat (2)'!AK51/'FY20 Initial Budget Allocat FTE'!AK$121</f>
        <v>2</v>
      </c>
      <c r="AL51" s="115">
        <f>'[8]FY20 Initial Budget Allocat (2)'!AL51/'FY20 Initial Budget Allocat FTE'!AL$121</f>
        <v>2</v>
      </c>
      <c r="AM51" s="115">
        <f>'[8]FY20 Initial Budget Allocat (2)'!AM51/'FY20 Initial Budget Allocat FTE'!AM$121</f>
        <v>2</v>
      </c>
      <c r="AN51" s="115">
        <f>'[8]FY20 Initial Budget Allocat (2)'!AN51/'FY20 Initial Budget Allocat FTE'!AN$121</f>
        <v>0</v>
      </c>
      <c r="AO51" s="115">
        <f>'[8]FY20 Initial Budget Allocat (2)'!AO51/'FY20 Initial Budget Allocat FTE'!AO$121</f>
        <v>0</v>
      </c>
      <c r="AP51" s="115">
        <f>'[8]FY20 Initial Budget Allocat (2)'!AP51/'FY20 Initial Budget Allocat FTE'!AP$121</f>
        <v>0</v>
      </c>
      <c r="AQ51" s="115">
        <f>'[8]FY20 Initial Budget Allocat (2)'!AQ51/'FY20 Initial Budget Allocat FTE'!AQ$121</f>
        <v>0</v>
      </c>
      <c r="AR51" s="115">
        <f>'[8]FY20 Initial Budget Allocat (2)'!AR51/'FY20 Initial Budget Allocat FTE'!AR$121</f>
        <v>0</v>
      </c>
      <c r="AS51" s="115">
        <f>'[8]FY20 Initial Budget Allocat (2)'!AS51/'FY20 Initial Budget Allocat FTE'!AS$121</f>
        <v>0</v>
      </c>
      <c r="AT51" s="115">
        <f>'[8]FY20 Initial Budget Allocat (2)'!AT51/'FY20 Initial Budget Allocat FTE'!AT$121</f>
        <v>0</v>
      </c>
      <c r="AU51" s="115">
        <f>'[8]FY20 Initial Budget Allocat (2)'!AU51/'FY20 Initial Budget Allocat FTE'!AU$121</f>
        <v>0</v>
      </c>
      <c r="AV51" s="115">
        <f>'[8]FY20 Initial Budget Allocat (2)'!AV51/'FY20 Initial Budget Allocat FTE'!AV$121</f>
        <v>0</v>
      </c>
      <c r="AW51" s="115">
        <f>'[8]FY20 Initial Budget Allocat (2)'!AW51/'FY20 Initial Budget Allocat FTE'!AW$121</f>
        <v>0</v>
      </c>
      <c r="AX51" s="115">
        <f>'[8]FY20 Initial Budget Allocat (2)'!AX51/'FY20 Initial Budget Allocat FTE'!AX$121</f>
        <v>1</v>
      </c>
      <c r="AY51" s="115">
        <f>'[8]FY20 Initial Budget Allocat (2)'!AY51/'FY20 Initial Budget Allocat FTE'!AY$121</f>
        <v>1</v>
      </c>
      <c r="AZ51" s="115">
        <f>'[8]FY20 Initial Budget Allocat (2)'!AZ51/'FY20 Initial Budget Allocat FTE'!AZ$121</f>
        <v>4</v>
      </c>
      <c r="BA51" s="115">
        <f>'[8]FY20 Initial Budget Allocat (2)'!BA51/'FY20 Initial Budget Allocat FTE'!BA$121</f>
        <v>0</v>
      </c>
      <c r="BB51" s="115">
        <f>'[8]FY20 Initial Budget Allocat (2)'!BB51/'FY20 Initial Budget Allocat FTE'!BB$121</f>
        <v>0</v>
      </c>
      <c r="BC51" s="115">
        <f>'[8]FY20 Initial Budget Allocat (2)'!BC51/'FY20 Initial Budget Allocat FTE'!BC$121</f>
        <v>0</v>
      </c>
      <c r="BD51" s="115">
        <f>'[8]FY20 Initial Budget Allocat (2)'!BD51/'FY20 Initial Budget Allocat FTE'!BD$121</f>
        <v>0.22727272727272727</v>
      </c>
      <c r="BE51" s="115">
        <f>'[8]FY20 Initial Budget Allocat (2)'!BE51/'FY20 Initial Budget Allocat FTE'!BE$121</f>
        <v>0</v>
      </c>
      <c r="BF51" s="115">
        <f>'[8]FY20 Initial Budget Allocat (2)'!BF51/'FY20 Initial Budget Allocat FTE'!BF$121</f>
        <v>0</v>
      </c>
      <c r="BG51" s="115">
        <f>'[8]FY20 Initial Budget Allocat (2)'!BG51/'FY20 Initial Budget Allocat FTE'!BG$121</f>
        <v>2.062629468760441</v>
      </c>
      <c r="BH51" s="115">
        <f>'[8]FY20 Initial Budget Allocat (2)'!BH51/'FY20 Initial Budget Allocat FTE'!BH$121</f>
        <v>4</v>
      </c>
      <c r="BI51" s="115">
        <f>'[8]FY20 Initial Budget Allocat (2)'!BI51/'FY20 Initial Budget Allocat FTE'!BI$121</f>
        <v>1</v>
      </c>
      <c r="BJ51" s="79"/>
      <c r="BK51" s="79">
        <v>0</v>
      </c>
      <c r="BL51" s="79">
        <v>11597.1</v>
      </c>
      <c r="BM51" s="79">
        <v>147370.63</v>
      </c>
      <c r="BN51" s="79">
        <v>2345.0500000000002</v>
      </c>
      <c r="BO51" s="79">
        <v>0</v>
      </c>
      <c r="BP51" s="115">
        <f>'[8]FY20 Initial Budget Allocat (2)'!BP51/'FY20 Initial Budget Allocat FTE'!BP$121</f>
        <v>0</v>
      </c>
      <c r="BQ51" s="115">
        <f>'[8]FY20 Initial Budget Allocat (2)'!BQ51/'FY20 Initial Budget Allocat FTE'!BQ$121</f>
        <v>0</v>
      </c>
      <c r="BR51" s="115">
        <f>'[8]FY20 Initial Budget Allocat (2)'!BR51/'FY20 Initial Budget Allocat FTE'!BR$121</f>
        <v>0</v>
      </c>
      <c r="BS51" s="115">
        <f>'[8]FY20 Initial Budget Allocat (2)'!BS51/'FY20 Initial Budget Allocat FTE'!BS$121</f>
        <v>0</v>
      </c>
      <c r="BT51" s="115">
        <f>'[8]FY20 Initial Budget Allocat (2)'!BT51/'FY20 Initial Budget Allocat FTE'!BT$121</f>
        <v>0</v>
      </c>
      <c r="BU51" s="115">
        <f>'[8]FY20 Initial Budget Allocat (2)'!BU51/'FY20 Initial Budget Allocat FTE'!BU$121</f>
        <v>0</v>
      </c>
      <c r="BV51" s="115">
        <f>'[8]FY20 Initial Budget Allocat (2)'!BV51/'FY20 Initial Budget Allocat FTE'!BV$121</f>
        <v>0</v>
      </c>
      <c r="BW51" s="80">
        <v>0</v>
      </c>
      <c r="BX51" s="80">
        <v>0</v>
      </c>
      <c r="BY51" s="80">
        <v>0</v>
      </c>
      <c r="BZ51" s="80">
        <v>0</v>
      </c>
      <c r="CA51" s="115">
        <f>'[8]FY20 Initial Budget Allocat (2)'!CA51/'FY20 Initial Budget Allocat FTE'!CA$121</f>
        <v>0</v>
      </c>
      <c r="CB51" s="115">
        <f>'[8]FY20 Initial Budget Allocat (2)'!CB51/'FY20 Initial Budget Allocat FTE'!CB$121</f>
        <v>0</v>
      </c>
      <c r="CC51" s="80">
        <v>0</v>
      </c>
      <c r="CD51" s="115">
        <f>'[8]FY20 Initial Budget Allocat (2)'!CD51/'FY20 Initial Budget Allocat FTE'!CD$121</f>
        <v>0</v>
      </c>
      <c r="CE51" s="115">
        <f>'[8]FY20 Initial Budget Allocat (2)'!CE51/'FY20 Initial Budget Allocat FTE'!CE$121</f>
        <v>0</v>
      </c>
      <c r="CF51" s="115">
        <f>'[8]FY20 Initial Budget Allocat (2)'!CF51/'FY20 Initial Budget Allocat FTE'!CF$121</f>
        <v>0</v>
      </c>
      <c r="CG51" s="115">
        <f>'[8]FY20 Initial Budget Allocat (2)'!CG51/'FY20 Initial Budget Allocat FTE'!CG$121</f>
        <v>0</v>
      </c>
      <c r="CH51" s="115">
        <f>'[8]FY20 Initial Budget Allocat (2)'!CH51/'FY20 Initial Budget Allocat FTE'!CH$121</f>
        <v>0</v>
      </c>
      <c r="CI51" s="115">
        <f>'[8]FY20 Initial Budget Allocat (2)'!CI51/'FY20 Initial Budget Allocat FTE'!CI$121</f>
        <v>0</v>
      </c>
      <c r="CJ51" s="115">
        <f>'[8]FY20 Initial Budget Allocat (2)'!CJ51/'FY20 Initial Budget Allocat FTE'!CJ$121</f>
        <v>0</v>
      </c>
      <c r="CK51" s="79">
        <v>0</v>
      </c>
      <c r="CL51" s="79">
        <v>0</v>
      </c>
      <c r="CM51" s="79">
        <v>54082.8</v>
      </c>
      <c r="CN51" s="79">
        <v>0</v>
      </c>
      <c r="CO51" s="115">
        <f>'[8]FY20 Initial Budget Allocat (2)'!CO51/'FY20 Initial Budget Allocat FTE'!CO$121</f>
        <v>0</v>
      </c>
      <c r="CP51" s="79">
        <v>0</v>
      </c>
      <c r="CQ51" s="79">
        <v>11127.656765676567</v>
      </c>
      <c r="CR51" s="79">
        <v>0</v>
      </c>
      <c r="CS51" s="79">
        <v>19532.23076923077</v>
      </c>
      <c r="CT51" s="115">
        <f>'[8]FY20 Initial Budget Allocat (2)'!CT51/'FY20 Initial Budget Allocat FTE'!CT$121</f>
        <v>0</v>
      </c>
      <c r="CU51" s="115">
        <f>'[8]FY20 Initial Budget Allocat (2)'!CU51/'FY20 Initial Budget Allocat FTE'!CU$121</f>
        <v>0</v>
      </c>
      <c r="CV51" s="79"/>
      <c r="CW51" s="79">
        <v>0</v>
      </c>
      <c r="CX51" s="115">
        <f>'[8]FY20 Initial Budget Allocat (2)'!CX51/'FY20 Initial Budget Allocat FTE'!CX$121</f>
        <v>0</v>
      </c>
      <c r="CY51" s="79">
        <v>0</v>
      </c>
      <c r="CZ51" s="79">
        <v>0</v>
      </c>
      <c r="DA51" s="79">
        <v>31000</v>
      </c>
      <c r="DB51" s="79">
        <v>66538.099665833899</v>
      </c>
      <c r="DC51" s="82">
        <v>0</v>
      </c>
      <c r="DD51" s="79">
        <v>15363.214285714286</v>
      </c>
      <c r="DE51" s="79"/>
      <c r="DF51" s="79">
        <v>18900</v>
      </c>
      <c r="DG51" s="79">
        <v>0</v>
      </c>
      <c r="DH51" s="83">
        <v>0</v>
      </c>
      <c r="DI51" s="79">
        <v>14684.473880538135</v>
      </c>
      <c r="DJ51" s="79">
        <v>4552186.9029668216</v>
      </c>
      <c r="DK51" s="84">
        <v>-2.9668211936950684E-3</v>
      </c>
      <c r="DL51" s="84">
        <v>0</v>
      </c>
      <c r="DM51" s="84">
        <f t="shared" si="0"/>
        <v>4552186.9000000004</v>
      </c>
      <c r="DN51" s="116">
        <f t="shared" si="1"/>
        <v>7</v>
      </c>
      <c r="DO51" s="116">
        <f t="shared" si="2"/>
        <v>7</v>
      </c>
      <c r="DP51" s="116">
        <f t="shared" si="3"/>
        <v>10</v>
      </c>
      <c r="DQ51" s="116">
        <f t="shared" si="4"/>
        <v>6.2272727272727275</v>
      </c>
      <c r="DR51" s="116">
        <f t="shared" si="5"/>
        <v>0</v>
      </c>
    </row>
    <row r="52" spans="1:122" x14ac:dyDescent="0.25">
      <c r="A52" s="76">
        <v>272</v>
      </c>
      <c r="B52" s="76" t="s">
        <v>191</v>
      </c>
      <c r="C52" s="77" t="s">
        <v>135</v>
      </c>
      <c r="D52" s="41">
        <v>3</v>
      </c>
      <c r="E52" s="78">
        <v>409</v>
      </c>
      <c r="F52" s="78">
        <v>17.160891089108912</v>
      </c>
      <c r="G52" s="115">
        <f>'[8]FY20 Initial Budget Allocat (2)'!G52/'FY20 Initial Budget Allocat FTE'!G$121</f>
        <v>1</v>
      </c>
      <c r="H52" s="115">
        <f>'[8]FY20 Initial Budget Allocat (2)'!H52/'FY20 Initial Budget Allocat FTE'!H$121</f>
        <v>1</v>
      </c>
      <c r="I52" s="115">
        <f>'[8]FY20 Initial Budget Allocat (2)'!I52/'FY20 Initial Budget Allocat FTE'!I$121</f>
        <v>1</v>
      </c>
      <c r="J52" s="115">
        <f>'[8]FY20 Initial Budget Allocat (2)'!J52/'FY20 Initial Budget Allocat FTE'!J$121</f>
        <v>0</v>
      </c>
      <c r="K52" s="115">
        <f>'[8]FY20 Initial Budget Allocat (2)'!K52/'FY20 Initial Budget Allocat FTE'!K$121</f>
        <v>0</v>
      </c>
      <c r="L52" s="115">
        <f>'[8]FY20 Initial Budget Allocat (2)'!L52/'FY20 Initial Budget Allocat FTE'!L$121</f>
        <v>1</v>
      </c>
      <c r="M52" s="115">
        <f>'[8]FY20 Initial Budget Allocat (2)'!M52/'FY20 Initial Budget Allocat FTE'!M$121</f>
        <v>1</v>
      </c>
      <c r="N52" s="115">
        <f>'[8]FY20 Initial Budget Allocat (2)'!N52/'FY20 Initial Budget Allocat FTE'!N$121</f>
        <v>1</v>
      </c>
      <c r="O52" s="115">
        <f>'[8]FY20 Initial Budget Allocat (2)'!O52/'FY20 Initial Budget Allocat FTE'!O$121</f>
        <v>0</v>
      </c>
      <c r="P52" s="115">
        <f>'[8]FY20 Initial Budget Allocat (2)'!P52/'FY20 Initial Budget Allocat FTE'!P$121</f>
        <v>0</v>
      </c>
      <c r="Q52" s="115">
        <f>'[8]FY20 Initial Budget Allocat (2)'!Q52/'FY20 Initial Budget Allocat FTE'!Q$121</f>
        <v>0</v>
      </c>
      <c r="R52" s="115">
        <f>'[8]FY20 Initial Budget Allocat (2)'!R52/'FY20 Initial Budget Allocat FTE'!R$121</f>
        <v>1</v>
      </c>
      <c r="S52" s="115">
        <f>'[8]FY20 Initial Budget Allocat (2)'!S52/'FY20 Initial Budget Allocat FTE'!S$121</f>
        <v>1</v>
      </c>
      <c r="T52" s="115">
        <f>'[8]FY20 Initial Budget Allocat (2)'!T52/'FY20 Initial Budget Allocat FTE'!T$121</f>
        <v>2</v>
      </c>
      <c r="U52" s="115">
        <f>'[8]FY20 Initial Budget Allocat (2)'!U52/'FY20 Initial Budget Allocat FTE'!U$121</f>
        <v>1</v>
      </c>
      <c r="V52" s="115">
        <f>'[8]FY20 Initial Budget Allocat (2)'!V52/'FY20 Initial Budget Allocat FTE'!V$121</f>
        <v>1</v>
      </c>
      <c r="W52" s="115">
        <f>'[8]FY20 Initial Budget Allocat (2)'!W52/'FY20 Initial Budget Allocat FTE'!W$121</f>
        <v>1</v>
      </c>
      <c r="X52" s="115">
        <f>'[8]FY20 Initial Budget Allocat (2)'!X52/'FY20 Initial Budget Allocat FTE'!X$121</f>
        <v>1</v>
      </c>
      <c r="Y52" s="115">
        <f>'[8]FY20 Initial Budget Allocat (2)'!Y52/'FY20 Initial Budget Allocat FTE'!Y$121</f>
        <v>1.5000000000000002</v>
      </c>
      <c r="Z52" s="115">
        <f>'[8]FY20 Initial Budget Allocat (2)'!Z52/'FY20 Initial Budget Allocat FTE'!Z$121</f>
        <v>0</v>
      </c>
      <c r="AA52" s="115">
        <f>'[8]FY20 Initial Budget Allocat (2)'!AA52/'FY20 Initial Budget Allocat FTE'!AA$121</f>
        <v>0</v>
      </c>
      <c r="AB52" s="115">
        <f>'[8]FY20 Initial Budget Allocat (2)'!AB52/'FY20 Initial Budget Allocat FTE'!AB$121</f>
        <v>0</v>
      </c>
      <c r="AC52" s="115">
        <f>'[8]FY20 Initial Budget Allocat (2)'!AC52/'FY20 Initial Budget Allocat FTE'!AC$121</f>
        <v>0</v>
      </c>
      <c r="AD52" s="115">
        <f>'[8]FY20 Initial Budget Allocat (2)'!AD52/'FY20 Initial Budget Allocat FTE'!AD$121</f>
        <v>0</v>
      </c>
      <c r="AE52" s="115">
        <f>'[8]FY20 Initial Budget Allocat (2)'!AE52/'FY20 Initial Budget Allocat FTE'!AE$121</f>
        <v>2</v>
      </c>
      <c r="AF52" s="115">
        <f>'[8]FY20 Initial Budget Allocat (2)'!AF52/'FY20 Initial Budget Allocat FTE'!AF$121</f>
        <v>2</v>
      </c>
      <c r="AG52" s="115">
        <f>'[8]FY20 Initial Budget Allocat (2)'!AG52/'FY20 Initial Budget Allocat FTE'!AG$121</f>
        <v>3.0000000000000004</v>
      </c>
      <c r="AH52" s="115">
        <f>'[8]FY20 Initial Budget Allocat (2)'!AH52/'FY20 Initial Budget Allocat FTE'!AH$121</f>
        <v>3</v>
      </c>
      <c r="AI52" s="115">
        <f>'[8]FY20 Initial Budget Allocat (2)'!AI52/'FY20 Initial Budget Allocat FTE'!AI$121</f>
        <v>3.0000000000000004</v>
      </c>
      <c r="AJ52" s="115">
        <f>'[8]FY20 Initial Budget Allocat (2)'!AJ52/'FY20 Initial Budget Allocat FTE'!AJ$121</f>
        <v>3.0000000000000004</v>
      </c>
      <c r="AK52" s="115">
        <f>'[8]FY20 Initial Budget Allocat (2)'!AK52/'FY20 Initial Budget Allocat FTE'!AK$121</f>
        <v>3.0000000000000004</v>
      </c>
      <c r="AL52" s="115">
        <f>'[8]FY20 Initial Budget Allocat (2)'!AL52/'FY20 Initial Budget Allocat FTE'!AL$121</f>
        <v>3.0000000000000004</v>
      </c>
      <c r="AM52" s="115">
        <f>'[8]FY20 Initial Budget Allocat (2)'!AM52/'FY20 Initial Budget Allocat FTE'!AM$121</f>
        <v>3.0000000000000004</v>
      </c>
      <c r="AN52" s="115">
        <f>'[8]FY20 Initial Budget Allocat (2)'!AN52/'FY20 Initial Budget Allocat FTE'!AN$121</f>
        <v>0</v>
      </c>
      <c r="AO52" s="115">
        <f>'[8]FY20 Initial Budget Allocat (2)'!AO52/'FY20 Initial Budget Allocat FTE'!AO$121</f>
        <v>0</v>
      </c>
      <c r="AP52" s="115">
        <f>'[8]FY20 Initial Budget Allocat (2)'!AP52/'FY20 Initial Budget Allocat FTE'!AP$121</f>
        <v>0</v>
      </c>
      <c r="AQ52" s="115">
        <f>'[8]FY20 Initial Budget Allocat (2)'!AQ52/'FY20 Initial Budget Allocat FTE'!AQ$121</f>
        <v>0</v>
      </c>
      <c r="AR52" s="115">
        <f>'[8]FY20 Initial Budget Allocat (2)'!AR52/'FY20 Initial Budget Allocat FTE'!AR$121</f>
        <v>0</v>
      </c>
      <c r="AS52" s="115">
        <f>'[8]FY20 Initial Budget Allocat (2)'!AS52/'FY20 Initial Budget Allocat FTE'!AS$121</f>
        <v>0</v>
      </c>
      <c r="AT52" s="115">
        <f>'[8]FY20 Initial Budget Allocat (2)'!AT52/'FY20 Initial Budget Allocat FTE'!AT$121</f>
        <v>0</v>
      </c>
      <c r="AU52" s="115">
        <f>'[8]FY20 Initial Budget Allocat (2)'!AU52/'FY20 Initial Budget Allocat FTE'!AU$121</f>
        <v>0</v>
      </c>
      <c r="AV52" s="115">
        <f>'[8]FY20 Initial Budget Allocat (2)'!AV52/'FY20 Initial Budget Allocat FTE'!AV$121</f>
        <v>0</v>
      </c>
      <c r="AW52" s="115">
        <f>'[8]FY20 Initial Budget Allocat (2)'!AW52/'FY20 Initial Budget Allocat FTE'!AW$121</f>
        <v>0</v>
      </c>
      <c r="AX52" s="115">
        <f>'[8]FY20 Initial Budget Allocat (2)'!AX52/'FY20 Initial Budget Allocat FTE'!AX$121</f>
        <v>0.5</v>
      </c>
      <c r="AY52" s="115">
        <f>'[8]FY20 Initial Budget Allocat (2)'!AY52/'FY20 Initial Budget Allocat FTE'!AY$121</f>
        <v>1</v>
      </c>
      <c r="AZ52" s="115">
        <f>'[8]FY20 Initial Budget Allocat (2)'!AZ52/'FY20 Initial Budget Allocat FTE'!AZ$121</f>
        <v>3.0000000000000004</v>
      </c>
      <c r="BA52" s="115">
        <f>'[8]FY20 Initial Budget Allocat (2)'!BA52/'FY20 Initial Budget Allocat FTE'!BA$121</f>
        <v>0</v>
      </c>
      <c r="BB52" s="115">
        <f>'[8]FY20 Initial Budget Allocat (2)'!BB52/'FY20 Initial Budget Allocat FTE'!BB$121</f>
        <v>0</v>
      </c>
      <c r="BC52" s="115">
        <f>'[8]FY20 Initial Budget Allocat (2)'!BC52/'FY20 Initial Budget Allocat FTE'!BC$121</f>
        <v>0</v>
      </c>
      <c r="BD52" s="115">
        <f>'[8]FY20 Initial Budget Allocat (2)'!BD52/'FY20 Initial Budget Allocat FTE'!BD$121</f>
        <v>1</v>
      </c>
      <c r="BE52" s="115">
        <f>'[8]FY20 Initial Budget Allocat (2)'!BE52/'FY20 Initial Budget Allocat FTE'!BE$121</f>
        <v>0</v>
      </c>
      <c r="BF52" s="115">
        <f>'[8]FY20 Initial Budget Allocat (2)'!BF52/'FY20 Initial Budget Allocat FTE'!BF$121</f>
        <v>0</v>
      </c>
      <c r="BG52" s="115">
        <f>'[8]FY20 Initial Budget Allocat (2)'!BG52/'FY20 Initial Budget Allocat FTE'!BG$121</f>
        <v>0</v>
      </c>
      <c r="BH52" s="115">
        <f>'[8]FY20 Initial Budget Allocat (2)'!BH52/'FY20 Initial Budget Allocat FTE'!BH$121</f>
        <v>0</v>
      </c>
      <c r="BI52" s="115">
        <f>'[8]FY20 Initial Budget Allocat (2)'!BI52/'FY20 Initial Budget Allocat FTE'!BI$121</f>
        <v>0</v>
      </c>
      <c r="BJ52" s="79"/>
      <c r="BK52" s="79">
        <v>0</v>
      </c>
      <c r="BL52" s="79"/>
      <c r="BM52" s="79">
        <v>0</v>
      </c>
      <c r="BN52" s="79">
        <v>0</v>
      </c>
      <c r="BO52" s="79">
        <v>10425</v>
      </c>
      <c r="BP52" s="115">
        <f>'[8]FY20 Initial Budget Allocat (2)'!BP52/'FY20 Initial Budget Allocat FTE'!BP$121</f>
        <v>0</v>
      </c>
      <c r="BQ52" s="115">
        <f>'[8]FY20 Initial Budget Allocat (2)'!BQ52/'FY20 Initial Budget Allocat FTE'!BQ$121</f>
        <v>0</v>
      </c>
      <c r="BR52" s="115">
        <f>'[8]FY20 Initial Budget Allocat (2)'!BR52/'FY20 Initial Budget Allocat FTE'!BR$121</f>
        <v>0</v>
      </c>
      <c r="BS52" s="115">
        <f>'[8]FY20 Initial Budget Allocat (2)'!BS52/'FY20 Initial Budget Allocat FTE'!BS$121</f>
        <v>0</v>
      </c>
      <c r="BT52" s="115">
        <f>'[8]FY20 Initial Budget Allocat (2)'!BT52/'FY20 Initial Budget Allocat FTE'!BT$121</f>
        <v>0</v>
      </c>
      <c r="BU52" s="115">
        <f>'[8]FY20 Initial Budget Allocat (2)'!BU52/'FY20 Initial Budget Allocat FTE'!BU$121</f>
        <v>0</v>
      </c>
      <c r="BV52" s="115">
        <f>'[8]FY20 Initial Budget Allocat (2)'!BV52/'FY20 Initial Budget Allocat FTE'!BV$121</f>
        <v>0</v>
      </c>
      <c r="BW52" s="80">
        <v>0</v>
      </c>
      <c r="BX52" s="80">
        <v>0</v>
      </c>
      <c r="BY52" s="80">
        <v>0</v>
      </c>
      <c r="BZ52" s="80">
        <v>0</v>
      </c>
      <c r="CA52" s="115">
        <f>'[8]FY20 Initial Budget Allocat (2)'!CA52/'FY20 Initial Budget Allocat FTE'!CA$121</f>
        <v>0</v>
      </c>
      <c r="CB52" s="115">
        <f>'[8]FY20 Initial Budget Allocat (2)'!CB52/'FY20 Initial Budget Allocat FTE'!CB$121</f>
        <v>0</v>
      </c>
      <c r="CC52" s="80">
        <v>0</v>
      </c>
      <c r="CD52" s="115">
        <f>'[8]FY20 Initial Budget Allocat (2)'!CD52/'FY20 Initial Budget Allocat FTE'!CD$121</f>
        <v>0</v>
      </c>
      <c r="CE52" s="115">
        <f>'[8]FY20 Initial Budget Allocat (2)'!CE52/'FY20 Initial Budget Allocat FTE'!CE$121</f>
        <v>0</v>
      </c>
      <c r="CF52" s="115">
        <f>'[8]FY20 Initial Budget Allocat (2)'!CF52/'FY20 Initial Budget Allocat FTE'!CF$121</f>
        <v>0</v>
      </c>
      <c r="CG52" s="115">
        <f>'[8]FY20 Initial Budget Allocat (2)'!CG52/'FY20 Initial Budget Allocat FTE'!CG$121</f>
        <v>0</v>
      </c>
      <c r="CH52" s="115">
        <f>'[8]FY20 Initial Budget Allocat (2)'!CH52/'FY20 Initial Budget Allocat FTE'!CH$121</f>
        <v>0</v>
      </c>
      <c r="CI52" s="115">
        <f>'[8]FY20 Initial Budget Allocat (2)'!CI52/'FY20 Initial Budget Allocat FTE'!CI$121</f>
        <v>0</v>
      </c>
      <c r="CJ52" s="115">
        <f>'[8]FY20 Initial Budget Allocat (2)'!CJ52/'FY20 Initial Budget Allocat FTE'!CJ$121</f>
        <v>0</v>
      </c>
      <c r="CK52" s="79">
        <v>0</v>
      </c>
      <c r="CL52" s="79">
        <v>0</v>
      </c>
      <c r="CM52" s="79">
        <v>54082.8</v>
      </c>
      <c r="CN52" s="79">
        <v>0</v>
      </c>
      <c r="CO52" s="115">
        <f>'[8]FY20 Initial Budget Allocat (2)'!CO52/'FY20 Initial Budget Allocat FTE'!CO$121</f>
        <v>0</v>
      </c>
      <c r="CP52" s="79">
        <v>0</v>
      </c>
      <c r="CQ52" s="79">
        <v>0</v>
      </c>
      <c r="CR52" s="79">
        <v>0</v>
      </c>
      <c r="CS52" s="79">
        <v>21935.627450980392</v>
      </c>
      <c r="CT52" s="115">
        <f>'[8]FY20 Initial Budget Allocat (2)'!CT52/'FY20 Initial Budget Allocat FTE'!CT$121</f>
        <v>0</v>
      </c>
      <c r="CU52" s="115">
        <f>'[8]FY20 Initial Budget Allocat (2)'!CU52/'FY20 Initial Budget Allocat FTE'!CU$121</f>
        <v>0</v>
      </c>
      <c r="CV52" s="79"/>
      <c r="CW52" s="79">
        <v>0</v>
      </c>
      <c r="CX52" s="115">
        <f>'[8]FY20 Initial Budget Allocat (2)'!CX52/'FY20 Initial Budget Allocat FTE'!CX$121</f>
        <v>0</v>
      </c>
      <c r="CY52" s="79">
        <v>0</v>
      </c>
      <c r="CZ52" s="79">
        <v>0</v>
      </c>
      <c r="DA52" s="79">
        <v>40900</v>
      </c>
      <c r="DB52" s="79">
        <v>70593.627020820437</v>
      </c>
      <c r="DC52" s="82">
        <v>0</v>
      </c>
      <c r="DD52" s="79">
        <v>0</v>
      </c>
      <c r="DE52" s="79"/>
      <c r="DF52" s="79">
        <v>1950</v>
      </c>
      <c r="DG52" s="79">
        <v>0</v>
      </c>
      <c r="DH52" s="83">
        <v>0</v>
      </c>
      <c r="DI52" s="79">
        <v>11209.252774957315</v>
      </c>
      <c r="DJ52" s="79">
        <v>4584584.3849575417</v>
      </c>
      <c r="DK52" s="84">
        <v>-4.957541823387146E-3</v>
      </c>
      <c r="DL52" s="84">
        <v>0</v>
      </c>
      <c r="DM52" s="84">
        <f t="shared" si="0"/>
        <v>4584584.38</v>
      </c>
      <c r="DN52" s="116">
        <f t="shared" si="1"/>
        <v>5</v>
      </c>
      <c r="DO52" s="116">
        <f t="shared" si="2"/>
        <v>5</v>
      </c>
      <c r="DP52" s="116">
        <f t="shared" si="3"/>
        <v>15.000000000000002</v>
      </c>
      <c r="DQ52" s="116">
        <f t="shared" si="4"/>
        <v>5.5</v>
      </c>
      <c r="DR52" s="116">
        <f t="shared" si="5"/>
        <v>0</v>
      </c>
    </row>
    <row r="53" spans="1:122" x14ac:dyDescent="0.25">
      <c r="A53" s="76">
        <v>259</v>
      </c>
      <c r="B53" s="76" t="s">
        <v>192</v>
      </c>
      <c r="C53" s="77" t="s">
        <v>135</v>
      </c>
      <c r="D53" s="41">
        <v>7</v>
      </c>
      <c r="E53" s="78">
        <v>379</v>
      </c>
      <c r="F53" s="78">
        <v>314.26943005181346</v>
      </c>
      <c r="G53" s="115">
        <f>'[8]FY20 Initial Budget Allocat (2)'!G53/'FY20 Initial Budget Allocat FTE'!G$121</f>
        <v>1</v>
      </c>
      <c r="H53" s="115">
        <f>'[8]FY20 Initial Budget Allocat (2)'!H53/'FY20 Initial Budget Allocat FTE'!H$121</f>
        <v>1</v>
      </c>
      <c r="I53" s="115">
        <f>'[8]FY20 Initial Budget Allocat (2)'!I53/'FY20 Initial Budget Allocat FTE'!I$121</f>
        <v>0.9</v>
      </c>
      <c r="J53" s="115">
        <f>'[8]FY20 Initial Budget Allocat (2)'!J53/'FY20 Initial Budget Allocat FTE'!J$121</f>
        <v>0</v>
      </c>
      <c r="K53" s="115">
        <f>'[8]FY20 Initial Budget Allocat (2)'!K53/'FY20 Initial Budget Allocat FTE'!K$121</f>
        <v>0</v>
      </c>
      <c r="L53" s="115">
        <f>'[8]FY20 Initial Budget Allocat (2)'!L53/'FY20 Initial Budget Allocat FTE'!L$121</f>
        <v>1</v>
      </c>
      <c r="M53" s="115">
        <f>'[8]FY20 Initial Budget Allocat (2)'!M53/'FY20 Initial Budget Allocat FTE'!M$121</f>
        <v>1</v>
      </c>
      <c r="N53" s="115">
        <f>'[8]FY20 Initial Budget Allocat (2)'!N53/'FY20 Initial Budget Allocat FTE'!N$121</f>
        <v>0</v>
      </c>
      <c r="O53" s="115">
        <f>'[8]FY20 Initial Budget Allocat (2)'!O53/'FY20 Initial Budget Allocat FTE'!O$121</f>
        <v>0</v>
      </c>
      <c r="P53" s="115">
        <f>'[8]FY20 Initial Budget Allocat (2)'!P53/'FY20 Initial Budget Allocat FTE'!P$121</f>
        <v>0</v>
      </c>
      <c r="Q53" s="115">
        <f>'[8]FY20 Initial Budget Allocat (2)'!Q53/'FY20 Initial Budget Allocat FTE'!Q$121</f>
        <v>0</v>
      </c>
      <c r="R53" s="115">
        <f>'[8]FY20 Initial Budget Allocat (2)'!R53/'FY20 Initial Budget Allocat FTE'!R$121</f>
        <v>1</v>
      </c>
      <c r="S53" s="115">
        <f>'[8]FY20 Initial Budget Allocat (2)'!S53/'FY20 Initial Budget Allocat FTE'!S$121</f>
        <v>1</v>
      </c>
      <c r="T53" s="115">
        <f>'[8]FY20 Initial Budget Allocat (2)'!T53/'FY20 Initial Budget Allocat FTE'!T$121</f>
        <v>2</v>
      </c>
      <c r="U53" s="115">
        <f>'[8]FY20 Initial Budget Allocat (2)'!U53/'FY20 Initial Budget Allocat FTE'!U$121</f>
        <v>1</v>
      </c>
      <c r="V53" s="115">
        <f>'[8]FY20 Initial Budget Allocat (2)'!V53/'FY20 Initial Budget Allocat FTE'!V$121</f>
        <v>1</v>
      </c>
      <c r="W53" s="115">
        <f>'[8]FY20 Initial Budget Allocat (2)'!W53/'FY20 Initial Budget Allocat FTE'!W$121</f>
        <v>1</v>
      </c>
      <c r="X53" s="115">
        <f>'[8]FY20 Initial Budget Allocat (2)'!X53/'FY20 Initial Budget Allocat FTE'!X$121</f>
        <v>1</v>
      </c>
      <c r="Y53" s="115">
        <f>'[8]FY20 Initial Budget Allocat (2)'!Y53/'FY20 Initial Budget Allocat FTE'!Y$121</f>
        <v>0</v>
      </c>
      <c r="Z53" s="115">
        <f>'[8]FY20 Initial Budget Allocat (2)'!Z53/'FY20 Initial Budget Allocat FTE'!Z$121</f>
        <v>0</v>
      </c>
      <c r="AA53" s="115">
        <f>'[8]FY20 Initial Budget Allocat (2)'!AA53/'FY20 Initial Budget Allocat FTE'!AA$121</f>
        <v>2</v>
      </c>
      <c r="AB53" s="115">
        <f>'[8]FY20 Initial Budget Allocat (2)'!AB53/'FY20 Initial Budget Allocat FTE'!AB$121</f>
        <v>2</v>
      </c>
      <c r="AC53" s="115">
        <f>'[8]FY20 Initial Budget Allocat (2)'!AC53/'FY20 Initial Budget Allocat FTE'!AC$121</f>
        <v>0</v>
      </c>
      <c r="AD53" s="115">
        <f>'[8]FY20 Initial Budget Allocat (2)'!AD53/'FY20 Initial Budget Allocat FTE'!AD$121</f>
        <v>0</v>
      </c>
      <c r="AE53" s="115">
        <f>'[8]FY20 Initial Budget Allocat (2)'!AE53/'FY20 Initial Budget Allocat FTE'!AE$121</f>
        <v>2</v>
      </c>
      <c r="AF53" s="115">
        <f>'[8]FY20 Initial Budget Allocat (2)'!AF53/'FY20 Initial Budget Allocat FTE'!AF$121</f>
        <v>2</v>
      </c>
      <c r="AG53" s="115">
        <f>'[8]FY20 Initial Budget Allocat (2)'!AG53/'FY20 Initial Budget Allocat FTE'!AG$121</f>
        <v>3.0000000000000004</v>
      </c>
      <c r="AH53" s="115">
        <f>'[8]FY20 Initial Budget Allocat (2)'!AH53/'FY20 Initial Budget Allocat FTE'!AH$121</f>
        <v>3</v>
      </c>
      <c r="AI53" s="115">
        <f>'[8]FY20 Initial Budget Allocat (2)'!AI53/'FY20 Initial Budget Allocat FTE'!AI$121</f>
        <v>2</v>
      </c>
      <c r="AJ53" s="115">
        <f>'[8]FY20 Initial Budget Allocat (2)'!AJ53/'FY20 Initial Budget Allocat FTE'!AJ$121</f>
        <v>3.0000000000000004</v>
      </c>
      <c r="AK53" s="115">
        <f>'[8]FY20 Initial Budget Allocat (2)'!AK53/'FY20 Initial Budget Allocat FTE'!AK$121</f>
        <v>3.0000000000000004</v>
      </c>
      <c r="AL53" s="115">
        <f>'[8]FY20 Initial Budget Allocat (2)'!AL53/'FY20 Initial Budget Allocat FTE'!AL$121</f>
        <v>2</v>
      </c>
      <c r="AM53" s="115">
        <f>'[8]FY20 Initial Budget Allocat (2)'!AM53/'FY20 Initial Budget Allocat FTE'!AM$121</f>
        <v>3.0000000000000004</v>
      </c>
      <c r="AN53" s="115">
        <f>'[8]FY20 Initial Budget Allocat (2)'!AN53/'FY20 Initial Budget Allocat FTE'!AN$121</f>
        <v>0</v>
      </c>
      <c r="AO53" s="115">
        <f>'[8]FY20 Initial Budget Allocat (2)'!AO53/'FY20 Initial Budget Allocat FTE'!AO$121</f>
        <v>0</v>
      </c>
      <c r="AP53" s="115">
        <f>'[8]FY20 Initial Budget Allocat (2)'!AP53/'FY20 Initial Budget Allocat FTE'!AP$121</f>
        <v>0</v>
      </c>
      <c r="AQ53" s="115">
        <f>'[8]FY20 Initial Budget Allocat (2)'!AQ53/'FY20 Initial Budget Allocat FTE'!AQ$121</f>
        <v>0</v>
      </c>
      <c r="AR53" s="115">
        <f>'[8]FY20 Initial Budget Allocat (2)'!AR53/'FY20 Initial Budget Allocat FTE'!AR$121</f>
        <v>0</v>
      </c>
      <c r="AS53" s="115">
        <f>'[8]FY20 Initial Budget Allocat (2)'!AS53/'FY20 Initial Budget Allocat FTE'!AS$121</f>
        <v>0</v>
      </c>
      <c r="AT53" s="115">
        <f>'[8]FY20 Initial Budget Allocat (2)'!AT53/'FY20 Initial Budget Allocat FTE'!AT$121</f>
        <v>0</v>
      </c>
      <c r="AU53" s="115">
        <f>'[8]FY20 Initial Budget Allocat (2)'!AU53/'FY20 Initial Budget Allocat FTE'!AU$121</f>
        <v>0</v>
      </c>
      <c r="AV53" s="115">
        <f>'[8]FY20 Initial Budget Allocat (2)'!AV53/'FY20 Initial Budget Allocat FTE'!AV$121</f>
        <v>0</v>
      </c>
      <c r="AW53" s="115">
        <f>'[8]FY20 Initial Budget Allocat (2)'!AW53/'FY20 Initial Budget Allocat FTE'!AW$121</f>
        <v>0</v>
      </c>
      <c r="AX53" s="115">
        <f>'[8]FY20 Initial Budget Allocat (2)'!AX53/'FY20 Initial Budget Allocat FTE'!AX$121</f>
        <v>1</v>
      </c>
      <c r="AY53" s="115">
        <f>'[8]FY20 Initial Budget Allocat (2)'!AY53/'FY20 Initial Budget Allocat FTE'!AY$121</f>
        <v>2</v>
      </c>
      <c r="AZ53" s="115">
        <f>'[8]FY20 Initial Budget Allocat (2)'!AZ53/'FY20 Initial Budget Allocat FTE'!AZ$121</f>
        <v>4</v>
      </c>
      <c r="BA53" s="115">
        <f>'[8]FY20 Initial Budget Allocat (2)'!BA53/'FY20 Initial Budget Allocat FTE'!BA$121</f>
        <v>1</v>
      </c>
      <c r="BB53" s="115">
        <f>'[8]FY20 Initial Budget Allocat (2)'!BB53/'FY20 Initial Budget Allocat FTE'!BB$121</f>
        <v>0</v>
      </c>
      <c r="BC53" s="115">
        <f>'[8]FY20 Initial Budget Allocat (2)'!BC53/'FY20 Initial Budget Allocat FTE'!BC$121</f>
        <v>0</v>
      </c>
      <c r="BD53" s="115">
        <f>'[8]FY20 Initial Budget Allocat (2)'!BD53/'FY20 Initial Budget Allocat FTE'!BD$121</f>
        <v>0</v>
      </c>
      <c r="BE53" s="115">
        <f>'[8]FY20 Initial Budget Allocat (2)'!BE53/'FY20 Initial Budget Allocat FTE'!BE$121</f>
        <v>0</v>
      </c>
      <c r="BF53" s="115">
        <f>'[8]FY20 Initial Budget Allocat (2)'!BF53/'FY20 Initial Budget Allocat FTE'!BF$121</f>
        <v>0</v>
      </c>
      <c r="BG53" s="115">
        <f>'[8]FY20 Initial Budget Allocat (2)'!BG53/'FY20 Initial Budget Allocat FTE'!BG$121</f>
        <v>3.0626294687604414</v>
      </c>
      <c r="BH53" s="115">
        <f>'[8]FY20 Initial Budget Allocat (2)'!BH53/'FY20 Initial Budget Allocat FTE'!BH$121</f>
        <v>5</v>
      </c>
      <c r="BI53" s="115">
        <f>'[8]FY20 Initial Budget Allocat (2)'!BI53/'FY20 Initial Budget Allocat FTE'!BI$121</f>
        <v>1</v>
      </c>
      <c r="BJ53" s="79"/>
      <c r="BK53" s="79">
        <v>0</v>
      </c>
      <c r="BL53" s="79">
        <v>11597.1</v>
      </c>
      <c r="BM53" s="79">
        <v>154501.47</v>
      </c>
      <c r="BN53" s="79">
        <v>2458.52</v>
      </c>
      <c r="BO53" s="79">
        <v>0</v>
      </c>
      <c r="BP53" s="115">
        <f>'[8]FY20 Initial Budget Allocat (2)'!BP53/'FY20 Initial Budget Allocat FTE'!BP$121</f>
        <v>0</v>
      </c>
      <c r="BQ53" s="115">
        <f>'[8]FY20 Initial Budget Allocat (2)'!BQ53/'FY20 Initial Budget Allocat FTE'!BQ$121</f>
        <v>0</v>
      </c>
      <c r="BR53" s="115">
        <f>'[8]FY20 Initial Budget Allocat (2)'!BR53/'FY20 Initial Budget Allocat FTE'!BR$121</f>
        <v>0</v>
      </c>
      <c r="BS53" s="115">
        <f>'[8]FY20 Initial Budget Allocat (2)'!BS53/'FY20 Initial Budget Allocat FTE'!BS$121</f>
        <v>0</v>
      </c>
      <c r="BT53" s="115">
        <f>'[8]FY20 Initial Budget Allocat (2)'!BT53/'FY20 Initial Budget Allocat FTE'!BT$121</f>
        <v>0</v>
      </c>
      <c r="BU53" s="115">
        <f>'[8]FY20 Initial Budget Allocat (2)'!BU53/'FY20 Initial Budget Allocat FTE'!BU$121</f>
        <v>0</v>
      </c>
      <c r="BV53" s="115">
        <f>'[8]FY20 Initial Budget Allocat (2)'!BV53/'FY20 Initial Budget Allocat FTE'!BV$121</f>
        <v>0</v>
      </c>
      <c r="BW53" s="80">
        <v>0</v>
      </c>
      <c r="BX53" s="80">
        <v>0</v>
      </c>
      <c r="BY53" s="80">
        <v>0</v>
      </c>
      <c r="BZ53" s="80">
        <v>0</v>
      </c>
      <c r="CA53" s="115">
        <f>'[8]FY20 Initial Budget Allocat (2)'!CA53/'FY20 Initial Budget Allocat FTE'!CA$121</f>
        <v>0</v>
      </c>
      <c r="CB53" s="115">
        <f>'[8]FY20 Initial Budget Allocat (2)'!CB53/'FY20 Initial Budget Allocat FTE'!CB$121</f>
        <v>0</v>
      </c>
      <c r="CC53" s="80">
        <v>0</v>
      </c>
      <c r="CD53" s="115">
        <f>'[8]FY20 Initial Budget Allocat (2)'!CD53/'FY20 Initial Budget Allocat FTE'!CD$121</f>
        <v>0</v>
      </c>
      <c r="CE53" s="115">
        <f>'[8]FY20 Initial Budget Allocat (2)'!CE53/'FY20 Initial Budget Allocat FTE'!CE$121</f>
        <v>0</v>
      </c>
      <c r="CF53" s="115">
        <f>'[8]FY20 Initial Budget Allocat (2)'!CF53/'FY20 Initial Budget Allocat FTE'!CF$121</f>
        <v>0</v>
      </c>
      <c r="CG53" s="115">
        <f>'[8]FY20 Initial Budget Allocat (2)'!CG53/'FY20 Initial Budget Allocat FTE'!CG$121</f>
        <v>0</v>
      </c>
      <c r="CH53" s="115">
        <f>'[8]FY20 Initial Budget Allocat (2)'!CH53/'FY20 Initial Budget Allocat FTE'!CH$121</f>
        <v>0</v>
      </c>
      <c r="CI53" s="115">
        <f>'[8]FY20 Initial Budget Allocat (2)'!CI53/'FY20 Initial Budget Allocat FTE'!CI$121</f>
        <v>0</v>
      </c>
      <c r="CJ53" s="115">
        <f>'[8]FY20 Initial Budget Allocat (2)'!CJ53/'FY20 Initial Budget Allocat FTE'!CJ$121</f>
        <v>0</v>
      </c>
      <c r="CK53" s="79">
        <v>0</v>
      </c>
      <c r="CL53" s="79">
        <v>0</v>
      </c>
      <c r="CM53" s="79">
        <v>54082.8</v>
      </c>
      <c r="CN53" s="79">
        <v>0</v>
      </c>
      <c r="CO53" s="115">
        <f>'[8]FY20 Initial Budget Allocat (2)'!CO53/'FY20 Initial Budget Allocat FTE'!CO$121</f>
        <v>0</v>
      </c>
      <c r="CP53" s="79">
        <v>0</v>
      </c>
      <c r="CQ53" s="79">
        <v>12570.777202072539</v>
      </c>
      <c r="CR53" s="79">
        <v>239760</v>
      </c>
      <c r="CS53" s="79">
        <v>22155.429648241206</v>
      </c>
      <c r="CT53" s="115">
        <f>'[8]FY20 Initial Budget Allocat (2)'!CT53/'FY20 Initial Budget Allocat FTE'!CT$121</f>
        <v>0</v>
      </c>
      <c r="CU53" s="115">
        <f>'[8]FY20 Initial Budget Allocat (2)'!CU53/'FY20 Initial Budget Allocat FTE'!CU$121</f>
        <v>0</v>
      </c>
      <c r="CV53" s="79"/>
      <c r="CW53" s="79">
        <v>0</v>
      </c>
      <c r="CX53" s="115">
        <f>'[8]FY20 Initial Budget Allocat (2)'!CX53/'FY20 Initial Budget Allocat FTE'!CX$121</f>
        <v>0</v>
      </c>
      <c r="CY53" s="79">
        <v>0</v>
      </c>
      <c r="CZ53" s="79">
        <v>0</v>
      </c>
      <c r="DA53" s="79">
        <v>37900</v>
      </c>
      <c r="DB53" s="79">
        <v>75170.74481596284</v>
      </c>
      <c r="DC53" s="82">
        <v>0</v>
      </c>
      <c r="DD53" s="79">
        <v>15363.214285714286</v>
      </c>
      <c r="DE53" s="79"/>
      <c r="DF53" s="79">
        <v>29100</v>
      </c>
      <c r="DG53" s="79">
        <v>0</v>
      </c>
      <c r="DH53" s="83">
        <v>0</v>
      </c>
      <c r="DI53" s="79">
        <v>13554.135401561791</v>
      </c>
      <c r="DJ53" s="79">
        <v>5137017.3171919174</v>
      </c>
      <c r="DK53" s="84">
        <v>2.8080828487873077E-3</v>
      </c>
      <c r="DL53" s="84">
        <v>0</v>
      </c>
      <c r="DM53" s="84">
        <f t="shared" si="0"/>
        <v>5137017.32</v>
      </c>
      <c r="DN53" s="116">
        <f t="shared" si="1"/>
        <v>7</v>
      </c>
      <c r="DO53" s="116">
        <f t="shared" si="2"/>
        <v>7</v>
      </c>
      <c r="DP53" s="116">
        <f t="shared" si="3"/>
        <v>13</v>
      </c>
      <c r="DQ53" s="116">
        <f t="shared" si="4"/>
        <v>7</v>
      </c>
      <c r="DR53" s="116">
        <f t="shared" si="5"/>
        <v>1</v>
      </c>
    </row>
    <row r="54" spans="1:122" x14ac:dyDescent="0.25">
      <c r="A54" s="76">
        <v>344</v>
      </c>
      <c r="B54" s="76" t="s">
        <v>193</v>
      </c>
      <c r="C54" s="77" t="s">
        <v>135</v>
      </c>
      <c r="D54" s="41">
        <v>8</v>
      </c>
      <c r="E54" s="78">
        <v>279</v>
      </c>
      <c r="F54" s="78">
        <v>252.95384615384617</v>
      </c>
      <c r="G54" s="115">
        <f>'[8]FY20 Initial Budget Allocat (2)'!G54/'FY20 Initial Budget Allocat FTE'!G$121</f>
        <v>1</v>
      </c>
      <c r="H54" s="115">
        <f>'[8]FY20 Initial Budget Allocat (2)'!H54/'FY20 Initial Budget Allocat FTE'!H$121</f>
        <v>1</v>
      </c>
      <c r="I54" s="115">
        <f>'[8]FY20 Initial Budget Allocat (2)'!I54/'FY20 Initial Budget Allocat FTE'!I$121</f>
        <v>0</v>
      </c>
      <c r="J54" s="115">
        <f>'[8]FY20 Initial Budget Allocat (2)'!J54/'FY20 Initial Budget Allocat FTE'!J$121</f>
        <v>0</v>
      </c>
      <c r="K54" s="115">
        <f>'[8]FY20 Initial Budget Allocat (2)'!K54/'FY20 Initial Budget Allocat FTE'!K$121</f>
        <v>0</v>
      </c>
      <c r="L54" s="115">
        <f>'[8]FY20 Initial Budget Allocat (2)'!L54/'FY20 Initial Budget Allocat FTE'!L$121</f>
        <v>0.5</v>
      </c>
      <c r="M54" s="115">
        <f>'[8]FY20 Initial Budget Allocat (2)'!M54/'FY20 Initial Budget Allocat FTE'!M$121</f>
        <v>1</v>
      </c>
      <c r="N54" s="115">
        <f>'[8]FY20 Initial Budget Allocat (2)'!N54/'FY20 Initial Budget Allocat FTE'!N$121</f>
        <v>0</v>
      </c>
      <c r="O54" s="115">
        <f>'[8]FY20 Initial Budget Allocat (2)'!O54/'FY20 Initial Budget Allocat FTE'!O$121</f>
        <v>0</v>
      </c>
      <c r="P54" s="115">
        <f>'[8]FY20 Initial Budget Allocat (2)'!P54/'FY20 Initial Budget Allocat FTE'!P$121</f>
        <v>0</v>
      </c>
      <c r="Q54" s="115">
        <f>'[8]FY20 Initial Budget Allocat (2)'!Q54/'FY20 Initial Budget Allocat FTE'!Q$121</f>
        <v>0</v>
      </c>
      <c r="R54" s="115">
        <f>'[8]FY20 Initial Budget Allocat (2)'!R54/'FY20 Initial Budget Allocat FTE'!R$121</f>
        <v>1</v>
      </c>
      <c r="S54" s="115">
        <f>'[8]FY20 Initial Budget Allocat (2)'!S54/'FY20 Initial Budget Allocat FTE'!S$121</f>
        <v>1</v>
      </c>
      <c r="T54" s="115">
        <f>'[8]FY20 Initial Budget Allocat (2)'!T54/'FY20 Initial Budget Allocat FTE'!T$121</f>
        <v>1</v>
      </c>
      <c r="U54" s="115">
        <f>'[8]FY20 Initial Budget Allocat (2)'!U54/'FY20 Initial Budget Allocat FTE'!U$121</f>
        <v>0.5</v>
      </c>
      <c r="V54" s="115">
        <f>'[8]FY20 Initial Budget Allocat (2)'!V54/'FY20 Initial Budget Allocat FTE'!V$121</f>
        <v>1</v>
      </c>
      <c r="W54" s="115">
        <f>'[8]FY20 Initial Budget Allocat (2)'!W54/'FY20 Initial Budget Allocat FTE'!W$121</f>
        <v>1</v>
      </c>
      <c r="X54" s="115">
        <f>'[8]FY20 Initial Budget Allocat (2)'!X54/'FY20 Initial Budget Allocat FTE'!X$121</f>
        <v>1</v>
      </c>
      <c r="Y54" s="115">
        <f>'[8]FY20 Initial Budget Allocat (2)'!Y54/'FY20 Initial Budget Allocat FTE'!Y$121</f>
        <v>0</v>
      </c>
      <c r="Z54" s="115">
        <f>'[8]FY20 Initial Budget Allocat (2)'!Z54/'FY20 Initial Budget Allocat FTE'!Z$121</f>
        <v>0</v>
      </c>
      <c r="AA54" s="115">
        <f>'[8]FY20 Initial Budget Allocat (2)'!AA54/'FY20 Initial Budget Allocat FTE'!AA$121</f>
        <v>2</v>
      </c>
      <c r="AB54" s="115">
        <f>'[8]FY20 Initial Budget Allocat (2)'!AB54/'FY20 Initial Budget Allocat FTE'!AB$121</f>
        <v>2</v>
      </c>
      <c r="AC54" s="115">
        <f>'[8]FY20 Initial Budget Allocat (2)'!AC54/'FY20 Initial Budget Allocat FTE'!AC$121</f>
        <v>0</v>
      </c>
      <c r="AD54" s="115">
        <f>'[8]FY20 Initial Budget Allocat (2)'!AD54/'FY20 Initial Budget Allocat FTE'!AD$121</f>
        <v>0</v>
      </c>
      <c r="AE54" s="115">
        <f>'[8]FY20 Initial Budget Allocat (2)'!AE54/'FY20 Initial Budget Allocat FTE'!AE$121</f>
        <v>3.0000000000000004</v>
      </c>
      <c r="AF54" s="115">
        <f>'[8]FY20 Initial Budget Allocat (2)'!AF54/'FY20 Initial Budget Allocat FTE'!AF$121</f>
        <v>3</v>
      </c>
      <c r="AG54" s="115">
        <f>'[8]FY20 Initial Budget Allocat (2)'!AG54/'FY20 Initial Budget Allocat FTE'!AG$121</f>
        <v>2</v>
      </c>
      <c r="AH54" s="115">
        <f>'[8]FY20 Initial Budget Allocat (2)'!AH54/'FY20 Initial Budget Allocat FTE'!AH$121</f>
        <v>2</v>
      </c>
      <c r="AI54" s="115">
        <f>'[8]FY20 Initial Budget Allocat (2)'!AI54/'FY20 Initial Budget Allocat FTE'!AI$121</f>
        <v>2</v>
      </c>
      <c r="AJ54" s="115">
        <f>'[8]FY20 Initial Budget Allocat (2)'!AJ54/'FY20 Initial Budget Allocat FTE'!AJ$121</f>
        <v>2</v>
      </c>
      <c r="AK54" s="115">
        <f>'[8]FY20 Initial Budget Allocat (2)'!AK54/'FY20 Initial Budget Allocat FTE'!AK$121</f>
        <v>2</v>
      </c>
      <c r="AL54" s="115">
        <f>'[8]FY20 Initial Budget Allocat (2)'!AL54/'FY20 Initial Budget Allocat FTE'!AL$121</f>
        <v>2</v>
      </c>
      <c r="AM54" s="115">
        <f>'[8]FY20 Initial Budget Allocat (2)'!AM54/'FY20 Initial Budget Allocat FTE'!AM$121</f>
        <v>2</v>
      </c>
      <c r="AN54" s="115">
        <f>'[8]FY20 Initial Budget Allocat (2)'!AN54/'FY20 Initial Budget Allocat FTE'!AN$121</f>
        <v>0</v>
      </c>
      <c r="AO54" s="115">
        <f>'[8]FY20 Initial Budget Allocat (2)'!AO54/'FY20 Initial Budget Allocat FTE'!AO$121</f>
        <v>0</v>
      </c>
      <c r="AP54" s="115">
        <f>'[8]FY20 Initial Budget Allocat (2)'!AP54/'FY20 Initial Budget Allocat FTE'!AP$121</f>
        <v>0</v>
      </c>
      <c r="AQ54" s="115">
        <f>'[8]FY20 Initial Budget Allocat (2)'!AQ54/'FY20 Initial Budget Allocat FTE'!AQ$121</f>
        <v>0</v>
      </c>
      <c r="AR54" s="115">
        <f>'[8]FY20 Initial Budget Allocat (2)'!AR54/'FY20 Initial Budget Allocat FTE'!AR$121</f>
        <v>0</v>
      </c>
      <c r="AS54" s="115">
        <f>'[8]FY20 Initial Budget Allocat (2)'!AS54/'FY20 Initial Budget Allocat FTE'!AS$121</f>
        <v>0</v>
      </c>
      <c r="AT54" s="115">
        <f>'[8]FY20 Initial Budget Allocat (2)'!AT54/'FY20 Initial Budget Allocat FTE'!AT$121</f>
        <v>0</v>
      </c>
      <c r="AU54" s="115">
        <f>'[8]FY20 Initial Budget Allocat (2)'!AU54/'FY20 Initial Budget Allocat FTE'!AU$121</f>
        <v>0</v>
      </c>
      <c r="AV54" s="115">
        <f>'[8]FY20 Initial Budget Allocat (2)'!AV54/'FY20 Initial Budget Allocat FTE'!AV$121</f>
        <v>0</v>
      </c>
      <c r="AW54" s="115">
        <f>'[8]FY20 Initial Budget Allocat (2)'!AW54/'FY20 Initial Budget Allocat FTE'!AW$121</f>
        <v>0</v>
      </c>
      <c r="AX54" s="115">
        <f>'[8]FY20 Initial Budget Allocat (2)'!AX54/'FY20 Initial Budget Allocat FTE'!AX$121</f>
        <v>1</v>
      </c>
      <c r="AY54" s="115">
        <f>'[8]FY20 Initial Budget Allocat (2)'!AY54/'FY20 Initial Budget Allocat FTE'!AY$121</f>
        <v>1</v>
      </c>
      <c r="AZ54" s="115">
        <f>'[8]FY20 Initial Budget Allocat (2)'!AZ54/'FY20 Initial Budget Allocat FTE'!AZ$121</f>
        <v>3.0000000000000004</v>
      </c>
      <c r="BA54" s="115">
        <f>'[8]FY20 Initial Budget Allocat (2)'!BA54/'FY20 Initial Budget Allocat FTE'!BA$121</f>
        <v>0</v>
      </c>
      <c r="BB54" s="115">
        <f>'[8]FY20 Initial Budget Allocat (2)'!BB54/'FY20 Initial Budget Allocat FTE'!BB$121</f>
        <v>0</v>
      </c>
      <c r="BC54" s="115">
        <f>'[8]FY20 Initial Budget Allocat (2)'!BC54/'FY20 Initial Budget Allocat FTE'!BC$121</f>
        <v>0</v>
      </c>
      <c r="BD54" s="115">
        <f>'[8]FY20 Initial Budget Allocat (2)'!BD54/'FY20 Initial Budget Allocat FTE'!BD$121</f>
        <v>0.13636363636363635</v>
      </c>
      <c r="BE54" s="115">
        <f>'[8]FY20 Initial Budget Allocat (2)'!BE54/'FY20 Initial Budget Allocat FTE'!BE$121</f>
        <v>0</v>
      </c>
      <c r="BF54" s="115">
        <f>'[8]FY20 Initial Budget Allocat (2)'!BF54/'FY20 Initial Budget Allocat FTE'!BF$121</f>
        <v>0</v>
      </c>
      <c r="BG54" s="115">
        <f>'[8]FY20 Initial Budget Allocat (2)'!BG54/'FY20 Initial Budget Allocat FTE'!BG$121</f>
        <v>2.062629468760441</v>
      </c>
      <c r="BH54" s="115">
        <f>'[8]FY20 Initial Budget Allocat (2)'!BH54/'FY20 Initial Budget Allocat FTE'!BH$121</f>
        <v>4</v>
      </c>
      <c r="BI54" s="115">
        <f>'[8]FY20 Initial Budget Allocat (2)'!BI54/'FY20 Initial Budget Allocat FTE'!BI$121</f>
        <v>1</v>
      </c>
      <c r="BJ54" s="79"/>
      <c r="BK54" s="79">
        <v>0</v>
      </c>
      <c r="BL54" s="79">
        <v>11597.1</v>
      </c>
      <c r="BM54" s="79">
        <v>164009.25</v>
      </c>
      <c r="BN54" s="79">
        <v>2609.81</v>
      </c>
      <c r="BO54" s="79">
        <v>0</v>
      </c>
      <c r="BP54" s="115">
        <f>'[8]FY20 Initial Budget Allocat (2)'!BP54/'FY20 Initial Budget Allocat FTE'!BP$121</f>
        <v>0</v>
      </c>
      <c r="BQ54" s="115">
        <f>'[8]FY20 Initial Budget Allocat (2)'!BQ54/'FY20 Initial Budget Allocat FTE'!BQ$121</f>
        <v>0</v>
      </c>
      <c r="BR54" s="115">
        <f>'[8]FY20 Initial Budget Allocat (2)'!BR54/'FY20 Initial Budget Allocat FTE'!BR$121</f>
        <v>0</v>
      </c>
      <c r="BS54" s="115">
        <f>'[8]FY20 Initial Budget Allocat (2)'!BS54/'FY20 Initial Budget Allocat FTE'!BS$121</f>
        <v>0</v>
      </c>
      <c r="BT54" s="115">
        <f>'[8]FY20 Initial Budget Allocat (2)'!BT54/'FY20 Initial Budget Allocat FTE'!BT$121</f>
        <v>0</v>
      </c>
      <c r="BU54" s="115">
        <f>'[8]FY20 Initial Budget Allocat (2)'!BU54/'FY20 Initial Budget Allocat FTE'!BU$121</f>
        <v>1</v>
      </c>
      <c r="BV54" s="115">
        <f>'[8]FY20 Initial Budget Allocat (2)'!BV54/'FY20 Initial Budget Allocat FTE'!BV$121</f>
        <v>0</v>
      </c>
      <c r="BW54" s="80">
        <v>0</v>
      </c>
      <c r="BX54" s="80">
        <v>0</v>
      </c>
      <c r="BY54" s="80">
        <v>0</v>
      </c>
      <c r="BZ54" s="80">
        <v>0</v>
      </c>
      <c r="CA54" s="115">
        <f>'[8]FY20 Initial Budget Allocat (2)'!CA54/'FY20 Initial Budget Allocat FTE'!CA$121</f>
        <v>0</v>
      </c>
      <c r="CB54" s="115">
        <f>'[8]FY20 Initial Budget Allocat (2)'!CB54/'FY20 Initial Budget Allocat FTE'!CB$121</f>
        <v>0</v>
      </c>
      <c r="CC54" s="80">
        <v>0</v>
      </c>
      <c r="CD54" s="115">
        <f>'[8]FY20 Initial Budget Allocat (2)'!CD54/'FY20 Initial Budget Allocat FTE'!CD$121</f>
        <v>0</v>
      </c>
      <c r="CE54" s="115">
        <f>'[8]FY20 Initial Budget Allocat (2)'!CE54/'FY20 Initial Budget Allocat FTE'!CE$121</f>
        <v>0</v>
      </c>
      <c r="CF54" s="115">
        <f>'[8]FY20 Initial Budget Allocat (2)'!CF54/'FY20 Initial Budget Allocat FTE'!CF$121</f>
        <v>0</v>
      </c>
      <c r="CG54" s="115">
        <f>'[8]FY20 Initial Budget Allocat (2)'!CG54/'FY20 Initial Budget Allocat FTE'!CG$121</f>
        <v>0</v>
      </c>
      <c r="CH54" s="115">
        <f>'[8]FY20 Initial Budget Allocat (2)'!CH54/'FY20 Initial Budget Allocat FTE'!CH$121</f>
        <v>0</v>
      </c>
      <c r="CI54" s="115">
        <f>'[8]FY20 Initial Budget Allocat (2)'!CI54/'FY20 Initial Budget Allocat FTE'!CI$121</f>
        <v>0</v>
      </c>
      <c r="CJ54" s="115">
        <f>'[8]FY20 Initial Budget Allocat (2)'!CJ54/'FY20 Initial Budget Allocat FTE'!CJ$121</f>
        <v>0</v>
      </c>
      <c r="CK54" s="79">
        <v>0</v>
      </c>
      <c r="CL54" s="79">
        <v>0</v>
      </c>
      <c r="CM54" s="79">
        <v>57070.8</v>
      </c>
      <c r="CN54" s="79">
        <v>0</v>
      </c>
      <c r="CO54" s="115">
        <f>'[8]FY20 Initial Budget Allocat (2)'!CO54/'FY20 Initial Budget Allocat FTE'!CO$121</f>
        <v>0</v>
      </c>
      <c r="CP54" s="79">
        <v>0</v>
      </c>
      <c r="CQ54" s="79">
        <v>10118.153846153848</v>
      </c>
      <c r="CR54" s="79">
        <v>0</v>
      </c>
      <c r="CS54" s="79">
        <v>16092.43918918919</v>
      </c>
      <c r="CT54" s="115">
        <f>'[8]FY20 Initial Budget Allocat (2)'!CT54/'FY20 Initial Budget Allocat FTE'!CT$121</f>
        <v>0</v>
      </c>
      <c r="CU54" s="115">
        <f>'[8]FY20 Initial Budget Allocat (2)'!CU54/'FY20 Initial Budget Allocat FTE'!CU$121</f>
        <v>0</v>
      </c>
      <c r="CV54" s="79"/>
      <c r="CW54" s="79">
        <v>0</v>
      </c>
      <c r="CX54" s="115">
        <f>'[8]FY20 Initial Budget Allocat (2)'!CX54/'FY20 Initial Budget Allocat FTE'!CX$121</f>
        <v>0</v>
      </c>
      <c r="CY54" s="79">
        <v>0</v>
      </c>
      <c r="CZ54" s="79">
        <v>0</v>
      </c>
      <c r="DA54" s="79">
        <v>27900</v>
      </c>
      <c r="DB54" s="79">
        <v>57854.952978535992</v>
      </c>
      <c r="DC54" s="82">
        <v>0</v>
      </c>
      <c r="DD54" s="79">
        <v>0</v>
      </c>
      <c r="DE54" s="79"/>
      <c r="DF54" s="79">
        <v>21600</v>
      </c>
      <c r="DG54" s="79">
        <v>0</v>
      </c>
      <c r="DH54" s="83"/>
      <c r="DI54" s="79">
        <v>14853.949700545903</v>
      </c>
      <c r="DJ54" s="79">
        <v>4144251.9664523066</v>
      </c>
      <c r="DK54" s="84">
        <v>218228.0335476934</v>
      </c>
      <c r="DL54" s="84">
        <v>362134.27</v>
      </c>
      <c r="DM54" s="84">
        <f t="shared" si="0"/>
        <v>4724614.2699999996</v>
      </c>
      <c r="DN54" s="116">
        <f t="shared" si="1"/>
        <v>7</v>
      </c>
      <c r="DO54" s="116">
        <f t="shared" si="2"/>
        <v>7</v>
      </c>
      <c r="DP54" s="116">
        <f t="shared" si="3"/>
        <v>10</v>
      </c>
      <c r="DQ54" s="116">
        <f t="shared" si="4"/>
        <v>5.1363636363636367</v>
      </c>
      <c r="DR54" s="116">
        <f t="shared" si="5"/>
        <v>0</v>
      </c>
    </row>
    <row r="55" spans="1:122" x14ac:dyDescent="0.25">
      <c r="A55" s="76">
        <v>417</v>
      </c>
      <c r="B55" s="76" t="s">
        <v>194</v>
      </c>
      <c r="C55" s="77" t="s">
        <v>152</v>
      </c>
      <c r="D55" s="41">
        <v>8</v>
      </c>
      <c r="E55" s="78">
        <v>224</v>
      </c>
      <c r="F55" s="78">
        <v>207.33980582524271</v>
      </c>
      <c r="G55" s="115">
        <f>'[8]FY20 Initial Budget Allocat (2)'!G55/'FY20 Initial Budget Allocat FTE'!G$121</f>
        <v>1</v>
      </c>
      <c r="H55" s="115">
        <f>'[8]FY20 Initial Budget Allocat (2)'!H55/'FY20 Initial Budget Allocat FTE'!H$121</f>
        <v>1</v>
      </c>
      <c r="I55" s="115">
        <f>'[8]FY20 Initial Budget Allocat (2)'!I55/'FY20 Initial Budget Allocat FTE'!I$121</f>
        <v>0.7</v>
      </c>
      <c r="J55" s="115">
        <f>'[8]FY20 Initial Budget Allocat (2)'!J55/'FY20 Initial Budget Allocat FTE'!J$121</f>
        <v>1</v>
      </c>
      <c r="K55" s="115">
        <f>'[8]FY20 Initial Budget Allocat (2)'!K55/'FY20 Initial Budget Allocat FTE'!K$121</f>
        <v>0</v>
      </c>
      <c r="L55" s="115">
        <f>'[8]FY20 Initial Budget Allocat (2)'!L55/'FY20 Initial Budget Allocat FTE'!L$121</f>
        <v>0.5</v>
      </c>
      <c r="M55" s="115">
        <f>'[8]FY20 Initial Budget Allocat (2)'!M55/'FY20 Initial Budget Allocat FTE'!M$121</f>
        <v>1</v>
      </c>
      <c r="N55" s="115">
        <f>'[8]FY20 Initial Budget Allocat (2)'!N55/'FY20 Initial Budget Allocat FTE'!N$121</f>
        <v>0</v>
      </c>
      <c r="O55" s="115">
        <f>'[8]FY20 Initial Budget Allocat (2)'!O55/'FY20 Initial Budget Allocat FTE'!O$121</f>
        <v>0</v>
      </c>
      <c r="P55" s="115">
        <f>'[8]FY20 Initial Budget Allocat (2)'!P55/'FY20 Initial Budget Allocat FTE'!P$121</f>
        <v>0</v>
      </c>
      <c r="Q55" s="115">
        <f>'[8]FY20 Initial Budget Allocat (2)'!Q55/'FY20 Initial Budget Allocat FTE'!Q$121</f>
        <v>1</v>
      </c>
      <c r="R55" s="115">
        <f>'[8]FY20 Initial Budget Allocat (2)'!R55/'FY20 Initial Budget Allocat FTE'!R$121</f>
        <v>1</v>
      </c>
      <c r="S55" s="115">
        <f>'[8]FY20 Initial Budget Allocat (2)'!S55/'FY20 Initial Budget Allocat FTE'!S$121</f>
        <v>1</v>
      </c>
      <c r="T55" s="115">
        <f>'[8]FY20 Initial Budget Allocat (2)'!T55/'FY20 Initial Budget Allocat FTE'!T$121</f>
        <v>3</v>
      </c>
      <c r="U55" s="115">
        <f>'[8]FY20 Initial Budget Allocat (2)'!U55/'FY20 Initial Budget Allocat FTE'!U$121</f>
        <v>0.5</v>
      </c>
      <c r="V55" s="115">
        <f>'[8]FY20 Initial Budget Allocat (2)'!V55/'FY20 Initial Budget Allocat FTE'!V$121</f>
        <v>0</v>
      </c>
      <c r="W55" s="115">
        <f>'[8]FY20 Initial Budget Allocat (2)'!W55/'FY20 Initial Budget Allocat FTE'!W$121</f>
        <v>0</v>
      </c>
      <c r="X55" s="115">
        <f>'[8]FY20 Initial Budget Allocat (2)'!X55/'FY20 Initial Budget Allocat FTE'!X$121</f>
        <v>0</v>
      </c>
      <c r="Y55" s="115">
        <f>'[8]FY20 Initial Budget Allocat (2)'!Y55/'FY20 Initial Budget Allocat FTE'!Y$121</f>
        <v>0</v>
      </c>
      <c r="Z55" s="115">
        <f>'[8]FY20 Initial Budget Allocat (2)'!Z55/'FY20 Initial Budget Allocat FTE'!Z$121</f>
        <v>0</v>
      </c>
      <c r="AA55" s="115">
        <f>'[8]FY20 Initial Budget Allocat (2)'!AA55/'FY20 Initial Budget Allocat FTE'!AA$121</f>
        <v>0</v>
      </c>
      <c r="AB55" s="115">
        <f>'[8]FY20 Initial Budget Allocat (2)'!AB55/'FY20 Initial Budget Allocat FTE'!AB$121</f>
        <v>0</v>
      </c>
      <c r="AC55" s="115">
        <f>'[8]FY20 Initial Budget Allocat (2)'!AC55/'FY20 Initial Budget Allocat FTE'!AC$121</f>
        <v>0</v>
      </c>
      <c r="AD55" s="115">
        <f>'[8]FY20 Initial Budget Allocat (2)'!AD55/'FY20 Initial Budget Allocat FTE'!AD$121</f>
        <v>0</v>
      </c>
      <c r="AE55" s="115">
        <f>'[8]FY20 Initial Budget Allocat (2)'!AE55/'FY20 Initial Budget Allocat FTE'!AE$121</f>
        <v>0</v>
      </c>
      <c r="AF55" s="115">
        <f>'[8]FY20 Initial Budget Allocat (2)'!AF55/'FY20 Initial Budget Allocat FTE'!AF$121</f>
        <v>0</v>
      </c>
      <c r="AG55" s="115">
        <f>'[8]FY20 Initial Budget Allocat (2)'!AG55/'FY20 Initial Budget Allocat FTE'!AG$121</f>
        <v>0</v>
      </c>
      <c r="AH55" s="115">
        <f>'[8]FY20 Initial Budget Allocat (2)'!AH55/'FY20 Initial Budget Allocat FTE'!AH$121</f>
        <v>0</v>
      </c>
      <c r="AI55" s="115">
        <f>'[8]FY20 Initial Budget Allocat (2)'!AI55/'FY20 Initial Budget Allocat FTE'!AI$121</f>
        <v>0</v>
      </c>
      <c r="AJ55" s="115">
        <f>'[8]FY20 Initial Budget Allocat (2)'!AJ55/'FY20 Initial Budget Allocat FTE'!AJ$121</f>
        <v>0</v>
      </c>
      <c r="AK55" s="115">
        <f>'[8]FY20 Initial Budget Allocat (2)'!AK55/'FY20 Initial Budget Allocat FTE'!AK$121</f>
        <v>0</v>
      </c>
      <c r="AL55" s="115">
        <f>'[8]FY20 Initial Budget Allocat (2)'!AL55/'FY20 Initial Budget Allocat FTE'!AL$121</f>
        <v>0</v>
      </c>
      <c r="AM55" s="115">
        <f>'[8]FY20 Initial Budget Allocat (2)'!AM55/'FY20 Initial Budget Allocat FTE'!AM$121</f>
        <v>0</v>
      </c>
      <c r="AN55" s="115">
        <f>'[8]FY20 Initial Budget Allocat (2)'!AN55/'FY20 Initial Budget Allocat FTE'!AN$121</f>
        <v>3.3</v>
      </c>
      <c r="AO55" s="115">
        <f>'[8]FY20 Initial Budget Allocat (2)'!AO55/'FY20 Initial Budget Allocat FTE'!AO$121</f>
        <v>3.7</v>
      </c>
      <c r="AP55" s="115">
        <f>'[8]FY20 Initial Budget Allocat (2)'!AP55/'FY20 Initial Budget Allocat FTE'!AP$121</f>
        <v>3.2000000000000006</v>
      </c>
      <c r="AQ55" s="115">
        <f>'[8]FY20 Initial Budget Allocat (2)'!AQ55/'FY20 Initial Budget Allocat FTE'!AQ$121</f>
        <v>0</v>
      </c>
      <c r="AR55" s="115">
        <f>'[8]FY20 Initial Budget Allocat (2)'!AR55/'FY20 Initial Budget Allocat FTE'!AR$121</f>
        <v>0</v>
      </c>
      <c r="AS55" s="115">
        <f>'[8]FY20 Initial Budget Allocat (2)'!AS55/'FY20 Initial Budget Allocat FTE'!AS$121</f>
        <v>0</v>
      </c>
      <c r="AT55" s="115">
        <f>'[8]FY20 Initial Budget Allocat (2)'!AT55/'FY20 Initial Budget Allocat FTE'!AT$121</f>
        <v>0</v>
      </c>
      <c r="AU55" s="115">
        <f>'[8]FY20 Initial Budget Allocat (2)'!AU55/'FY20 Initial Budget Allocat FTE'!AU$121</f>
        <v>0</v>
      </c>
      <c r="AV55" s="115">
        <f>'[8]FY20 Initial Budget Allocat (2)'!AV55/'FY20 Initial Budget Allocat FTE'!AV$121</f>
        <v>0</v>
      </c>
      <c r="AW55" s="115">
        <f>'[8]FY20 Initial Budget Allocat (2)'!AW55/'FY20 Initial Budget Allocat FTE'!AW$121</f>
        <v>0</v>
      </c>
      <c r="AX55" s="115">
        <f>'[8]FY20 Initial Budget Allocat (2)'!AX55/'FY20 Initial Budget Allocat FTE'!AX$121</f>
        <v>1</v>
      </c>
      <c r="AY55" s="115">
        <f>'[8]FY20 Initial Budget Allocat (2)'!AY55/'FY20 Initial Budget Allocat FTE'!AY$121</f>
        <v>3.0000000000000004</v>
      </c>
      <c r="AZ55" s="115">
        <f>'[8]FY20 Initial Budget Allocat (2)'!AZ55/'FY20 Initial Budget Allocat FTE'!AZ$121</f>
        <v>6.0000000000000009</v>
      </c>
      <c r="BA55" s="115">
        <f>'[8]FY20 Initial Budget Allocat (2)'!BA55/'FY20 Initial Budget Allocat FTE'!BA$121</f>
        <v>2</v>
      </c>
      <c r="BB55" s="115">
        <f>'[8]FY20 Initial Budget Allocat (2)'!BB55/'FY20 Initial Budget Allocat FTE'!BB$121</f>
        <v>2</v>
      </c>
      <c r="BC55" s="115">
        <f>'[8]FY20 Initial Budget Allocat (2)'!BC55/'FY20 Initial Budget Allocat FTE'!BC$121</f>
        <v>0</v>
      </c>
      <c r="BD55" s="115">
        <f>'[8]FY20 Initial Budget Allocat (2)'!BD55/'FY20 Initial Budget Allocat FTE'!BD$121</f>
        <v>9.0909090909090912E-2</v>
      </c>
      <c r="BE55" s="115">
        <f>'[8]FY20 Initial Budget Allocat (2)'!BE55/'FY20 Initial Budget Allocat FTE'!BE$121</f>
        <v>0</v>
      </c>
      <c r="BF55" s="115">
        <f>'[8]FY20 Initial Budget Allocat (2)'!BF55/'FY20 Initial Budget Allocat FTE'!BF$121</f>
        <v>0</v>
      </c>
      <c r="BG55" s="115">
        <f>'[8]FY20 Initial Budget Allocat (2)'!BG55/'FY20 Initial Budget Allocat FTE'!BG$121</f>
        <v>0</v>
      </c>
      <c r="BH55" s="115">
        <f>'[8]FY20 Initial Budget Allocat (2)'!BH55/'FY20 Initial Budget Allocat FTE'!BH$121</f>
        <v>0</v>
      </c>
      <c r="BI55" s="115">
        <f>'[8]FY20 Initial Budget Allocat (2)'!BI55/'FY20 Initial Budget Allocat FTE'!BI$121</f>
        <v>0</v>
      </c>
      <c r="BJ55" s="79"/>
      <c r="BK55" s="79">
        <v>0</v>
      </c>
      <c r="BL55" s="79"/>
      <c r="BM55" s="79">
        <v>92225.49</v>
      </c>
      <c r="BN55" s="79">
        <v>1467.55</v>
      </c>
      <c r="BO55" s="79">
        <v>0</v>
      </c>
      <c r="BP55" s="115">
        <f>'[8]FY20 Initial Budget Allocat (2)'!BP55/'FY20 Initial Budget Allocat FTE'!BP$121</f>
        <v>0</v>
      </c>
      <c r="BQ55" s="115">
        <f>'[8]FY20 Initial Budget Allocat (2)'!BQ55/'FY20 Initial Budget Allocat FTE'!BQ$121</f>
        <v>0</v>
      </c>
      <c r="BR55" s="115">
        <f>'[8]FY20 Initial Budget Allocat (2)'!BR55/'FY20 Initial Budget Allocat FTE'!BR$121</f>
        <v>1</v>
      </c>
      <c r="BS55" s="115">
        <f>'[8]FY20 Initial Budget Allocat (2)'!BS55/'FY20 Initial Budget Allocat FTE'!BS$121</f>
        <v>0</v>
      </c>
      <c r="BT55" s="115">
        <f>'[8]FY20 Initial Budget Allocat (2)'!BT55/'FY20 Initial Budget Allocat FTE'!BT$121</f>
        <v>0</v>
      </c>
      <c r="BU55" s="115">
        <f>'[8]FY20 Initial Budget Allocat (2)'!BU55/'FY20 Initial Budget Allocat FTE'!BU$121</f>
        <v>0</v>
      </c>
      <c r="BV55" s="115">
        <f>'[8]FY20 Initial Budget Allocat (2)'!BV55/'FY20 Initial Budget Allocat FTE'!BV$121</f>
        <v>0</v>
      </c>
      <c r="BW55" s="80">
        <v>0</v>
      </c>
      <c r="BX55" s="80">
        <v>0</v>
      </c>
      <c r="BY55" s="80">
        <v>0</v>
      </c>
      <c r="BZ55" s="80">
        <v>0</v>
      </c>
      <c r="CA55" s="115">
        <f>'[8]FY20 Initial Budget Allocat (2)'!CA55/'FY20 Initial Budget Allocat FTE'!CA$121</f>
        <v>0</v>
      </c>
      <c r="CB55" s="115">
        <f>'[8]FY20 Initial Budget Allocat (2)'!CB55/'FY20 Initial Budget Allocat FTE'!CB$121</f>
        <v>0</v>
      </c>
      <c r="CC55" s="80">
        <v>0</v>
      </c>
      <c r="CD55" s="115">
        <f>'[8]FY20 Initial Budget Allocat (2)'!CD55/'FY20 Initial Budget Allocat FTE'!CD$121</f>
        <v>0</v>
      </c>
      <c r="CE55" s="115">
        <f>'[8]FY20 Initial Budget Allocat (2)'!CE55/'FY20 Initial Budget Allocat FTE'!CE$121</f>
        <v>0</v>
      </c>
      <c r="CF55" s="115">
        <f>'[8]FY20 Initial Budget Allocat (2)'!CF55/'FY20 Initial Budget Allocat FTE'!CF$121</f>
        <v>0</v>
      </c>
      <c r="CG55" s="115">
        <f>'[8]FY20 Initial Budget Allocat (2)'!CG55/'FY20 Initial Budget Allocat FTE'!CG$121</f>
        <v>0</v>
      </c>
      <c r="CH55" s="115">
        <f>'[8]FY20 Initial Budget Allocat (2)'!CH55/'FY20 Initial Budget Allocat FTE'!CH$121</f>
        <v>0</v>
      </c>
      <c r="CI55" s="115">
        <f>'[8]FY20 Initial Budget Allocat (2)'!CI55/'FY20 Initial Budget Allocat FTE'!CI$121</f>
        <v>2</v>
      </c>
      <c r="CJ55" s="115">
        <f>'[8]FY20 Initial Budget Allocat (2)'!CJ55/'FY20 Initial Budget Allocat FTE'!CJ$121</f>
        <v>0</v>
      </c>
      <c r="CK55" s="79">
        <v>23000</v>
      </c>
      <c r="CL55" s="79">
        <v>5000</v>
      </c>
      <c r="CM55" s="79">
        <v>295048.09999999998</v>
      </c>
      <c r="CN55" s="79">
        <v>100000</v>
      </c>
      <c r="CO55" s="115">
        <f>'[8]FY20 Initial Budget Allocat (2)'!CO55/'FY20 Initial Budget Allocat FTE'!CO$121</f>
        <v>0</v>
      </c>
      <c r="CP55" s="79">
        <v>75000</v>
      </c>
      <c r="CQ55" s="79">
        <v>8293.5922330097092</v>
      </c>
      <c r="CR55" s="79">
        <v>0</v>
      </c>
      <c r="CS55" s="79">
        <v>18927.466666666667</v>
      </c>
      <c r="CT55" s="115">
        <f>'[8]FY20 Initial Budget Allocat (2)'!CT55/'FY20 Initial Budget Allocat FTE'!CT$121</f>
        <v>0</v>
      </c>
      <c r="CU55" s="115">
        <f>'[8]FY20 Initial Budget Allocat (2)'!CU55/'FY20 Initial Budget Allocat FTE'!CU$121</f>
        <v>0</v>
      </c>
      <c r="CV55" s="79"/>
      <c r="CW55" s="79">
        <v>0</v>
      </c>
      <c r="CX55" s="115">
        <f>'[8]FY20 Initial Budget Allocat (2)'!CX55/'FY20 Initial Budget Allocat FTE'!CX$121</f>
        <v>0</v>
      </c>
      <c r="CY55" s="79">
        <v>0</v>
      </c>
      <c r="CZ55" s="79">
        <v>0</v>
      </c>
      <c r="DA55" s="79">
        <v>22400</v>
      </c>
      <c r="DB55" s="79">
        <v>61427.725204266135</v>
      </c>
      <c r="DC55" s="82">
        <v>0</v>
      </c>
      <c r="DD55" s="79">
        <v>0</v>
      </c>
      <c r="DE55" s="79"/>
      <c r="DF55" s="79">
        <v>51800</v>
      </c>
      <c r="DG55" s="79">
        <v>0</v>
      </c>
      <c r="DH55" s="83">
        <v>33793.388606871245</v>
      </c>
      <c r="DI55" s="79">
        <v>20106.115943575383</v>
      </c>
      <c r="DJ55" s="79">
        <v>4503769.9713608846</v>
      </c>
      <c r="DK55" s="84">
        <v>0.18863911554217339</v>
      </c>
      <c r="DL55" s="84">
        <v>95614.15</v>
      </c>
      <c r="DM55" s="84">
        <f t="shared" si="0"/>
        <v>4599384.3100000005</v>
      </c>
      <c r="DN55" s="116">
        <f t="shared" si="1"/>
        <v>0</v>
      </c>
      <c r="DO55" s="116">
        <f t="shared" si="2"/>
        <v>0</v>
      </c>
      <c r="DP55" s="116">
        <f t="shared" si="3"/>
        <v>10.200000000000001</v>
      </c>
      <c r="DQ55" s="116">
        <f t="shared" si="4"/>
        <v>10.090909090909092</v>
      </c>
      <c r="DR55" s="116">
        <f t="shared" si="5"/>
        <v>2</v>
      </c>
    </row>
    <row r="56" spans="1:122" x14ac:dyDescent="0.25">
      <c r="A56" s="76">
        <v>261</v>
      </c>
      <c r="B56" s="76" t="s">
        <v>195</v>
      </c>
      <c r="C56" s="77" t="s">
        <v>135</v>
      </c>
      <c r="D56" s="41">
        <v>4</v>
      </c>
      <c r="E56" s="78">
        <v>931</v>
      </c>
      <c r="F56" s="78">
        <v>33</v>
      </c>
      <c r="G56" s="115">
        <f>'[8]FY20 Initial Budget Allocat (2)'!G56/'FY20 Initial Budget Allocat FTE'!G$121</f>
        <v>1</v>
      </c>
      <c r="H56" s="115">
        <f>'[8]FY20 Initial Budget Allocat (2)'!H56/'FY20 Initial Budget Allocat FTE'!H$121</f>
        <v>1</v>
      </c>
      <c r="I56" s="115">
        <f>'[8]FY20 Initial Budget Allocat (2)'!I56/'FY20 Initial Budget Allocat FTE'!I$121</f>
        <v>2.2999999999999998</v>
      </c>
      <c r="J56" s="115">
        <f>'[8]FY20 Initial Budget Allocat (2)'!J56/'FY20 Initial Budget Allocat FTE'!J$121</f>
        <v>0</v>
      </c>
      <c r="K56" s="115">
        <f>'[8]FY20 Initial Budget Allocat (2)'!K56/'FY20 Initial Budget Allocat FTE'!K$121</f>
        <v>0</v>
      </c>
      <c r="L56" s="115">
        <f>'[8]FY20 Initial Budget Allocat (2)'!L56/'FY20 Initial Budget Allocat FTE'!L$121</f>
        <v>1</v>
      </c>
      <c r="M56" s="115">
        <f>'[8]FY20 Initial Budget Allocat (2)'!M56/'FY20 Initial Budget Allocat FTE'!M$121</f>
        <v>1</v>
      </c>
      <c r="N56" s="115">
        <f>'[8]FY20 Initial Budget Allocat (2)'!N56/'FY20 Initial Budget Allocat FTE'!N$121</f>
        <v>2.2999999999999998</v>
      </c>
      <c r="O56" s="115">
        <f>'[8]FY20 Initial Budget Allocat (2)'!O56/'FY20 Initial Budget Allocat FTE'!O$121</f>
        <v>0</v>
      </c>
      <c r="P56" s="115">
        <f>'[8]FY20 Initial Budget Allocat (2)'!P56/'FY20 Initial Budget Allocat FTE'!P$121</f>
        <v>0</v>
      </c>
      <c r="Q56" s="115">
        <f>'[8]FY20 Initial Budget Allocat (2)'!Q56/'FY20 Initial Budget Allocat FTE'!Q$121</f>
        <v>0</v>
      </c>
      <c r="R56" s="115">
        <f>'[8]FY20 Initial Budget Allocat (2)'!R56/'FY20 Initial Budget Allocat FTE'!R$121</f>
        <v>1</v>
      </c>
      <c r="S56" s="115">
        <f>'[8]FY20 Initial Budget Allocat (2)'!S56/'FY20 Initial Budget Allocat FTE'!S$121</f>
        <v>1</v>
      </c>
      <c r="T56" s="115">
        <f>'[8]FY20 Initial Budget Allocat (2)'!T56/'FY20 Initial Budget Allocat FTE'!T$121</f>
        <v>4</v>
      </c>
      <c r="U56" s="115">
        <f>'[8]FY20 Initial Budget Allocat (2)'!U56/'FY20 Initial Budget Allocat FTE'!U$121</f>
        <v>1</v>
      </c>
      <c r="V56" s="115">
        <f>'[8]FY20 Initial Budget Allocat (2)'!V56/'FY20 Initial Budget Allocat FTE'!V$121</f>
        <v>1</v>
      </c>
      <c r="W56" s="115">
        <f>'[8]FY20 Initial Budget Allocat (2)'!W56/'FY20 Initial Budget Allocat FTE'!W$121</f>
        <v>1</v>
      </c>
      <c r="X56" s="115">
        <f>'[8]FY20 Initial Budget Allocat (2)'!X56/'FY20 Initial Budget Allocat FTE'!X$121</f>
        <v>1</v>
      </c>
      <c r="Y56" s="115">
        <f>'[8]FY20 Initial Budget Allocat (2)'!Y56/'FY20 Initial Budget Allocat FTE'!Y$121</f>
        <v>3.499999999999996</v>
      </c>
      <c r="Z56" s="115">
        <f>'[8]FY20 Initial Budget Allocat (2)'!Z56/'FY20 Initial Budget Allocat FTE'!Z$121</f>
        <v>1</v>
      </c>
      <c r="AA56" s="115">
        <f>'[8]FY20 Initial Budget Allocat (2)'!AA56/'FY20 Initial Budget Allocat FTE'!AA$121</f>
        <v>0</v>
      </c>
      <c r="AB56" s="115">
        <f>'[8]FY20 Initial Budget Allocat (2)'!AB56/'FY20 Initial Budget Allocat FTE'!AB$121</f>
        <v>0</v>
      </c>
      <c r="AC56" s="115">
        <f>'[8]FY20 Initial Budget Allocat (2)'!AC56/'FY20 Initial Budget Allocat FTE'!AC$121</f>
        <v>0</v>
      </c>
      <c r="AD56" s="115">
        <f>'[8]FY20 Initial Budget Allocat (2)'!AD56/'FY20 Initial Budget Allocat FTE'!AD$121</f>
        <v>0</v>
      </c>
      <c r="AE56" s="115">
        <f>'[8]FY20 Initial Budget Allocat (2)'!AE56/'FY20 Initial Budget Allocat FTE'!AE$121</f>
        <v>4</v>
      </c>
      <c r="AF56" s="115">
        <f>'[8]FY20 Initial Budget Allocat (2)'!AF56/'FY20 Initial Budget Allocat FTE'!AF$121</f>
        <v>4</v>
      </c>
      <c r="AG56" s="115">
        <f>'[8]FY20 Initial Budget Allocat (2)'!AG56/'FY20 Initial Budget Allocat FTE'!AG$121</f>
        <v>6.0000000000000009</v>
      </c>
      <c r="AH56" s="115">
        <f>'[8]FY20 Initial Budget Allocat (2)'!AH56/'FY20 Initial Budget Allocat FTE'!AH$121</f>
        <v>6</v>
      </c>
      <c r="AI56" s="115">
        <f>'[8]FY20 Initial Budget Allocat (2)'!AI56/'FY20 Initial Budget Allocat FTE'!AI$121</f>
        <v>7</v>
      </c>
      <c r="AJ56" s="115">
        <f>'[8]FY20 Initial Budget Allocat (2)'!AJ56/'FY20 Initial Budget Allocat FTE'!AJ$121</f>
        <v>6.0000000000000009</v>
      </c>
      <c r="AK56" s="115">
        <f>'[8]FY20 Initial Budget Allocat (2)'!AK56/'FY20 Initial Budget Allocat FTE'!AK$121</f>
        <v>6.0000000000000009</v>
      </c>
      <c r="AL56" s="115">
        <f>'[8]FY20 Initial Budget Allocat (2)'!AL56/'FY20 Initial Budget Allocat FTE'!AL$121</f>
        <v>5</v>
      </c>
      <c r="AM56" s="115">
        <f>'[8]FY20 Initial Budget Allocat (2)'!AM56/'FY20 Initial Budget Allocat FTE'!AM$121</f>
        <v>5</v>
      </c>
      <c r="AN56" s="115">
        <f>'[8]FY20 Initial Budget Allocat (2)'!AN56/'FY20 Initial Budget Allocat FTE'!AN$121</f>
        <v>0</v>
      </c>
      <c r="AO56" s="115">
        <f>'[8]FY20 Initial Budget Allocat (2)'!AO56/'FY20 Initial Budget Allocat FTE'!AO$121</f>
        <v>0</v>
      </c>
      <c r="AP56" s="115">
        <f>'[8]FY20 Initial Budget Allocat (2)'!AP56/'FY20 Initial Budget Allocat FTE'!AP$121</f>
        <v>0</v>
      </c>
      <c r="AQ56" s="115">
        <f>'[8]FY20 Initial Budget Allocat (2)'!AQ56/'FY20 Initial Budget Allocat FTE'!AQ$121</f>
        <v>0</v>
      </c>
      <c r="AR56" s="115">
        <f>'[8]FY20 Initial Budget Allocat (2)'!AR56/'FY20 Initial Budget Allocat FTE'!AR$121</f>
        <v>0</v>
      </c>
      <c r="AS56" s="115">
        <f>'[8]FY20 Initial Budget Allocat (2)'!AS56/'FY20 Initial Budget Allocat FTE'!AS$121</f>
        <v>0</v>
      </c>
      <c r="AT56" s="115">
        <f>'[8]FY20 Initial Budget Allocat (2)'!AT56/'FY20 Initial Budget Allocat FTE'!AT$121</f>
        <v>0</v>
      </c>
      <c r="AU56" s="115">
        <f>'[8]FY20 Initial Budget Allocat (2)'!AU56/'FY20 Initial Budget Allocat FTE'!AU$121</f>
        <v>0</v>
      </c>
      <c r="AV56" s="115">
        <f>'[8]FY20 Initial Budget Allocat (2)'!AV56/'FY20 Initial Budget Allocat FTE'!AV$121</f>
        <v>0</v>
      </c>
      <c r="AW56" s="115">
        <f>'[8]FY20 Initial Budget Allocat (2)'!AW56/'FY20 Initial Budget Allocat FTE'!AW$121</f>
        <v>0</v>
      </c>
      <c r="AX56" s="115">
        <f>'[8]FY20 Initial Budget Allocat (2)'!AX56/'FY20 Initial Budget Allocat FTE'!AX$121</f>
        <v>1</v>
      </c>
      <c r="AY56" s="115">
        <f>'[8]FY20 Initial Budget Allocat (2)'!AY56/'FY20 Initial Budget Allocat FTE'!AY$121</f>
        <v>2</v>
      </c>
      <c r="AZ56" s="115">
        <f>'[8]FY20 Initial Budget Allocat (2)'!AZ56/'FY20 Initial Budget Allocat FTE'!AZ$121</f>
        <v>6.0000000000000009</v>
      </c>
      <c r="BA56" s="115">
        <f>'[8]FY20 Initial Budget Allocat (2)'!BA56/'FY20 Initial Budget Allocat FTE'!BA$121</f>
        <v>3</v>
      </c>
      <c r="BB56" s="115">
        <f>'[8]FY20 Initial Budget Allocat (2)'!BB56/'FY20 Initial Budget Allocat FTE'!BB$121</f>
        <v>0</v>
      </c>
      <c r="BC56" s="115">
        <f>'[8]FY20 Initial Budget Allocat (2)'!BC56/'FY20 Initial Budget Allocat FTE'!BC$121</f>
        <v>0</v>
      </c>
      <c r="BD56" s="115">
        <f>'[8]FY20 Initial Budget Allocat (2)'!BD56/'FY20 Initial Budget Allocat FTE'!BD$121</f>
        <v>3.0000000000000004</v>
      </c>
      <c r="BE56" s="115">
        <f>'[8]FY20 Initial Budget Allocat (2)'!BE56/'FY20 Initial Budget Allocat FTE'!BE$121</f>
        <v>0</v>
      </c>
      <c r="BF56" s="115">
        <f>'[8]FY20 Initial Budget Allocat (2)'!BF56/'FY20 Initial Budget Allocat FTE'!BF$121</f>
        <v>0</v>
      </c>
      <c r="BG56" s="115">
        <f>'[8]FY20 Initial Budget Allocat (2)'!BG56/'FY20 Initial Budget Allocat FTE'!BG$121</f>
        <v>0</v>
      </c>
      <c r="BH56" s="115">
        <f>'[8]FY20 Initial Budget Allocat (2)'!BH56/'FY20 Initial Budget Allocat FTE'!BH$121</f>
        <v>0</v>
      </c>
      <c r="BI56" s="115">
        <f>'[8]FY20 Initial Budget Allocat (2)'!BI56/'FY20 Initial Budget Allocat FTE'!BI$121</f>
        <v>0</v>
      </c>
      <c r="BJ56" s="79"/>
      <c r="BK56" s="79">
        <v>0</v>
      </c>
      <c r="BL56" s="79"/>
      <c r="BM56" s="79">
        <v>0</v>
      </c>
      <c r="BN56" s="79">
        <v>0</v>
      </c>
      <c r="BO56" s="79">
        <v>20400</v>
      </c>
      <c r="BP56" s="115">
        <f>'[8]FY20 Initial Budget Allocat (2)'!BP56/'FY20 Initial Budget Allocat FTE'!BP$121</f>
        <v>0</v>
      </c>
      <c r="BQ56" s="115">
        <f>'[8]FY20 Initial Budget Allocat (2)'!BQ56/'FY20 Initial Budget Allocat FTE'!BQ$121</f>
        <v>0</v>
      </c>
      <c r="BR56" s="115">
        <f>'[8]FY20 Initial Budget Allocat (2)'!BR56/'FY20 Initial Budget Allocat FTE'!BR$121</f>
        <v>0</v>
      </c>
      <c r="BS56" s="115">
        <f>'[8]FY20 Initial Budget Allocat (2)'!BS56/'FY20 Initial Budget Allocat FTE'!BS$121</f>
        <v>0</v>
      </c>
      <c r="BT56" s="115">
        <f>'[8]FY20 Initial Budget Allocat (2)'!BT56/'FY20 Initial Budget Allocat FTE'!BT$121</f>
        <v>0</v>
      </c>
      <c r="BU56" s="115">
        <f>'[8]FY20 Initial Budget Allocat (2)'!BU56/'FY20 Initial Budget Allocat FTE'!BU$121</f>
        <v>0</v>
      </c>
      <c r="BV56" s="115">
        <f>'[8]FY20 Initial Budget Allocat (2)'!BV56/'FY20 Initial Budget Allocat FTE'!BV$121</f>
        <v>0</v>
      </c>
      <c r="BW56" s="80">
        <v>0</v>
      </c>
      <c r="BX56" s="80">
        <v>0</v>
      </c>
      <c r="BY56" s="80">
        <v>0</v>
      </c>
      <c r="BZ56" s="80">
        <v>0</v>
      </c>
      <c r="CA56" s="115">
        <f>'[8]FY20 Initial Budget Allocat (2)'!CA56/'FY20 Initial Budget Allocat FTE'!CA$121</f>
        <v>0</v>
      </c>
      <c r="CB56" s="115">
        <f>'[8]FY20 Initial Budget Allocat (2)'!CB56/'FY20 Initial Budget Allocat FTE'!CB$121</f>
        <v>0</v>
      </c>
      <c r="CC56" s="80">
        <v>0</v>
      </c>
      <c r="CD56" s="115">
        <f>'[8]FY20 Initial Budget Allocat (2)'!CD56/'FY20 Initial Budget Allocat FTE'!CD$121</f>
        <v>0</v>
      </c>
      <c r="CE56" s="115">
        <f>'[8]FY20 Initial Budget Allocat (2)'!CE56/'FY20 Initial Budget Allocat FTE'!CE$121</f>
        <v>0</v>
      </c>
      <c r="CF56" s="115">
        <f>'[8]FY20 Initial Budget Allocat (2)'!CF56/'FY20 Initial Budget Allocat FTE'!CF$121</f>
        <v>0</v>
      </c>
      <c r="CG56" s="115">
        <f>'[8]FY20 Initial Budget Allocat (2)'!CG56/'FY20 Initial Budget Allocat FTE'!CG$121</f>
        <v>0</v>
      </c>
      <c r="CH56" s="115">
        <f>'[8]FY20 Initial Budget Allocat (2)'!CH56/'FY20 Initial Budget Allocat FTE'!CH$121</f>
        <v>0</v>
      </c>
      <c r="CI56" s="115">
        <f>'[8]FY20 Initial Budget Allocat (2)'!CI56/'FY20 Initial Budget Allocat FTE'!CI$121</f>
        <v>0</v>
      </c>
      <c r="CJ56" s="115">
        <f>'[8]FY20 Initial Budget Allocat (2)'!CJ56/'FY20 Initial Budget Allocat FTE'!CJ$121</f>
        <v>0</v>
      </c>
      <c r="CK56" s="79">
        <v>0</v>
      </c>
      <c r="CL56" s="79">
        <v>0</v>
      </c>
      <c r="CM56" s="79">
        <v>108165.6</v>
      </c>
      <c r="CN56" s="79">
        <v>0</v>
      </c>
      <c r="CO56" s="115">
        <f>'[8]FY20 Initial Budget Allocat (2)'!CO56/'FY20 Initial Budget Allocat FTE'!CO$121</f>
        <v>0</v>
      </c>
      <c r="CP56" s="79">
        <v>0</v>
      </c>
      <c r="CQ56" s="79">
        <v>0</v>
      </c>
      <c r="CR56" s="79">
        <v>0</v>
      </c>
      <c r="CS56" s="79">
        <v>48277.391304347824</v>
      </c>
      <c r="CT56" s="115">
        <f>'[8]FY20 Initial Budget Allocat (2)'!CT56/'FY20 Initial Budget Allocat FTE'!CT$121</f>
        <v>0</v>
      </c>
      <c r="CU56" s="115">
        <f>'[8]FY20 Initial Budget Allocat (2)'!CU56/'FY20 Initial Budget Allocat FTE'!CU$121</f>
        <v>0</v>
      </c>
      <c r="CV56" s="79"/>
      <c r="CW56" s="79">
        <v>0</v>
      </c>
      <c r="CX56" s="115">
        <f>'[8]FY20 Initial Budget Allocat (2)'!CX56/'FY20 Initial Budget Allocat FTE'!CX$121</f>
        <v>0</v>
      </c>
      <c r="CY56" s="79">
        <v>0</v>
      </c>
      <c r="CZ56" s="79">
        <v>0</v>
      </c>
      <c r="DA56" s="79">
        <v>93100</v>
      </c>
      <c r="DB56" s="79">
        <v>130540.93159498695</v>
      </c>
      <c r="DC56" s="82">
        <v>985000</v>
      </c>
      <c r="DD56" s="79">
        <v>0</v>
      </c>
      <c r="DE56" s="79"/>
      <c r="DF56" s="79">
        <v>3750</v>
      </c>
      <c r="DG56" s="79">
        <v>0</v>
      </c>
      <c r="DH56" s="83">
        <v>0</v>
      </c>
      <c r="DI56" s="79">
        <v>10201.252760583775</v>
      </c>
      <c r="DJ56" s="79">
        <v>9497366.3201034945</v>
      </c>
      <c r="DK56" s="84">
        <v>-1.0349415242671967E-4</v>
      </c>
      <c r="DL56" s="84">
        <v>0</v>
      </c>
      <c r="DM56" s="84">
        <f t="shared" si="0"/>
        <v>9497366.3200000003</v>
      </c>
      <c r="DN56" s="116">
        <f t="shared" si="1"/>
        <v>10</v>
      </c>
      <c r="DO56" s="116">
        <f t="shared" si="2"/>
        <v>10</v>
      </c>
      <c r="DP56" s="116">
        <f t="shared" si="3"/>
        <v>29</v>
      </c>
      <c r="DQ56" s="116">
        <f t="shared" si="4"/>
        <v>12</v>
      </c>
      <c r="DR56" s="116">
        <f t="shared" si="5"/>
        <v>3</v>
      </c>
    </row>
    <row r="57" spans="1:122" x14ac:dyDescent="0.25">
      <c r="A57" s="76">
        <v>262</v>
      </c>
      <c r="B57" s="76" t="s">
        <v>196</v>
      </c>
      <c r="C57" s="77" t="s">
        <v>135</v>
      </c>
      <c r="D57" s="41">
        <v>5</v>
      </c>
      <c r="E57" s="78">
        <v>368</v>
      </c>
      <c r="F57" s="78">
        <v>219.30746268656719</v>
      </c>
      <c r="G57" s="115">
        <f>'[8]FY20 Initial Budget Allocat (2)'!G57/'FY20 Initial Budget Allocat FTE'!G$121</f>
        <v>1</v>
      </c>
      <c r="H57" s="115">
        <f>'[8]FY20 Initial Budget Allocat (2)'!H57/'FY20 Initial Budget Allocat FTE'!H$121</f>
        <v>1</v>
      </c>
      <c r="I57" s="115">
        <f>'[8]FY20 Initial Budget Allocat (2)'!I57/'FY20 Initial Budget Allocat FTE'!I$121</f>
        <v>0.9</v>
      </c>
      <c r="J57" s="115">
        <f>'[8]FY20 Initial Budget Allocat (2)'!J57/'FY20 Initial Budget Allocat FTE'!J$121</f>
        <v>0</v>
      </c>
      <c r="K57" s="115">
        <f>'[8]FY20 Initial Budget Allocat (2)'!K57/'FY20 Initial Budget Allocat FTE'!K$121</f>
        <v>0</v>
      </c>
      <c r="L57" s="115">
        <f>'[8]FY20 Initial Budget Allocat (2)'!L57/'FY20 Initial Budget Allocat FTE'!L$121</f>
        <v>1</v>
      </c>
      <c r="M57" s="115">
        <f>'[8]FY20 Initial Budget Allocat (2)'!M57/'FY20 Initial Budget Allocat FTE'!M$121</f>
        <v>1</v>
      </c>
      <c r="N57" s="115">
        <f>'[8]FY20 Initial Budget Allocat (2)'!N57/'FY20 Initial Budget Allocat FTE'!N$121</f>
        <v>0</v>
      </c>
      <c r="O57" s="115">
        <f>'[8]FY20 Initial Budget Allocat (2)'!O57/'FY20 Initial Budget Allocat FTE'!O$121</f>
        <v>0</v>
      </c>
      <c r="P57" s="115">
        <f>'[8]FY20 Initial Budget Allocat (2)'!P57/'FY20 Initial Budget Allocat FTE'!P$121</f>
        <v>0</v>
      </c>
      <c r="Q57" s="115">
        <f>'[8]FY20 Initial Budget Allocat (2)'!Q57/'FY20 Initial Budget Allocat FTE'!Q$121</f>
        <v>0</v>
      </c>
      <c r="R57" s="115">
        <f>'[8]FY20 Initial Budget Allocat (2)'!R57/'FY20 Initial Budget Allocat FTE'!R$121</f>
        <v>1</v>
      </c>
      <c r="S57" s="115">
        <f>'[8]FY20 Initial Budget Allocat (2)'!S57/'FY20 Initial Budget Allocat FTE'!S$121</f>
        <v>1</v>
      </c>
      <c r="T57" s="115">
        <f>'[8]FY20 Initial Budget Allocat (2)'!T57/'FY20 Initial Budget Allocat FTE'!T$121</f>
        <v>3</v>
      </c>
      <c r="U57" s="115">
        <f>'[8]FY20 Initial Budget Allocat (2)'!U57/'FY20 Initial Budget Allocat FTE'!U$121</f>
        <v>1</v>
      </c>
      <c r="V57" s="115">
        <f>'[8]FY20 Initial Budget Allocat (2)'!V57/'FY20 Initial Budget Allocat FTE'!V$121</f>
        <v>1</v>
      </c>
      <c r="W57" s="115">
        <f>'[8]FY20 Initial Budget Allocat (2)'!W57/'FY20 Initial Budget Allocat FTE'!W$121</f>
        <v>1</v>
      </c>
      <c r="X57" s="115">
        <f>'[8]FY20 Initial Budget Allocat (2)'!X57/'FY20 Initial Budget Allocat FTE'!X$121</f>
        <v>1</v>
      </c>
      <c r="Y57" s="115">
        <f>'[8]FY20 Initial Budget Allocat (2)'!Y57/'FY20 Initial Budget Allocat FTE'!Y$121</f>
        <v>0</v>
      </c>
      <c r="Z57" s="115">
        <f>'[8]FY20 Initial Budget Allocat (2)'!Z57/'FY20 Initial Budget Allocat FTE'!Z$121</f>
        <v>0</v>
      </c>
      <c r="AA57" s="115">
        <f>'[8]FY20 Initial Budget Allocat (2)'!AA57/'FY20 Initial Budget Allocat FTE'!AA$121</f>
        <v>1</v>
      </c>
      <c r="AB57" s="115">
        <f>'[8]FY20 Initial Budget Allocat (2)'!AB57/'FY20 Initial Budget Allocat FTE'!AB$121</f>
        <v>1</v>
      </c>
      <c r="AC57" s="115">
        <f>'[8]FY20 Initial Budget Allocat (2)'!AC57/'FY20 Initial Budget Allocat FTE'!AC$121</f>
        <v>3.0000000000000004</v>
      </c>
      <c r="AD57" s="115">
        <f>'[8]FY20 Initial Budget Allocat (2)'!AD57/'FY20 Initial Budget Allocat FTE'!AD$121</f>
        <v>3</v>
      </c>
      <c r="AE57" s="115">
        <f>'[8]FY20 Initial Budget Allocat (2)'!AE57/'FY20 Initial Budget Allocat FTE'!AE$121</f>
        <v>1</v>
      </c>
      <c r="AF57" s="115">
        <f>'[8]FY20 Initial Budget Allocat (2)'!AF57/'FY20 Initial Budget Allocat FTE'!AF$121</f>
        <v>1</v>
      </c>
      <c r="AG57" s="115">
        <f>'[8]FY20 Initial Budget Allocat (2)'!AG57/'FY20 Initial Budget Allocat FTE'!AG$121</f>
        <v>3.0000000000000004</v>
      </c>
      <c r="AH57" s="115">
        <f>'[8]FY20 Initial Budget Allocat (2)'!AH57/'FY20 Initial Budget Allocat FTE'!AH$121</f>
        <v>3</v>
      </c>
      <c r="AI57" s="115">
        <f>'[8]FY20 Initial Budget Allocat (2)'!AI57/'FY20 Initial Budget Allocat FTE'!AI$121</f>
        <v>2</v>
      </c>
      <c r="AJ57" s="115">
        <f>'[8]FY20 Initial Budget Allocat (2)'!AJ57/'FY20 Initial Budget Allocat FTE'!AJ$121</f>
        <v>3.0000000000000004</v>
      </c>
      <c r="AK57" s="115">
        <f>'[8]FY20 Initial Budget Allocat (2)'!AK57/'FY20 Initial Budget Allocat FTE'!AK$121</f>
        <v>2</v>
      </c>
      <c r="AL57" s="115">
        <f>'[8]FY20 Initial Budget Allocat (2)'!AL57/'FY20 Initial Budget Allocat FTE'!AL$121</f>
        <v>3.0000000000000004</v>
      </c>
      <c r="AM57" s="115">
        <f>'[8]FY20 Initial Budget Allocat (2)'!AM57/'FY20 Initial Budget Allocat FTE'!AM$121</f>
        <v>2</v>
      </c>
      <c r="AN57" s="115">
        <f>'[8]FY20 Initial Budget Allocat (2)'!AN57/'FY20 Initial Budget Allocat FTE'!AN$121</f>
        <v>0</v>
      </c>
      <c r="AO57" s="115">
        <f>'[8]FY20 Initial Budget Allocat (2)'!AO57/'FY20 Initial Budget Allocat FTE'!AO$121</f>
        <v>0</v>
      </c>
      <c r="AP57" s="115">
        <f>'[8]FY20 Initial Budget Allocat (2)'!AP57/'FY20 Initial Budget Allocat FTE'!AP$121</f>
        <v>0</v>
      </c>
      <c r="AQ57" s="115">
        <f>'[8]FY20 Initial Budget Allocat (2)'!AQ57/'FY20 Initial Budget Allocat FTE'!AQ$121</f>
        <v>0</v>
      </c>
      <c r="AR57" s="115">
        <f>'[8]FY20 Initial Budget Allocat (2)'!AR57/'FY20 Initial Budget Allocat FTE'!AR$121</f>
        <v>0</v>
      </c>
      <c r="AS57" s="115">
        <f>'[8]FY20 Initial Budget Allocat (2)'!AS57/'FY20 Initial Budget Allocat FTE'!AS$121</f>
        <v>0</v>
      </c>
      <c r="AT57" s="115">
        <f>'[8]FY20 Initial Budget Allocat (2)'!AT57/'FY20 Initial Budget Allocat FTE'!AT$121</f>
        <v>0</v>
      </c>
      <c r="AU57" s="115">
        <f>'[8]FY20 Initial Budget Allocat (2)'!AU57/'FY20 Initial Budget Allocat FTE'!AU$121</f>
        <v>0</v>
      </c>
      <c r="AV57" s="115">
        <f>'[8]FY20 Initial Budget Allocat (2)'!AV57/'FY20 Initial Budget Allocat FTE'!AV$121</f>
        <v>0</v>
      </c>
      <c r="AW57" s="115">
        <f>'[8]FY20 Initial Budget Allocat (2)'!AW57/'FY20 Initial Budget Allocat FTE'!AW$121</f>
        <v>0</v>
      </c>
      <c r="AX57" s="115">
        <f>'[8]FY20 Initial Budget Allocat (2)'!AX57/'FY20 Initial Budget Allocat FTE'!AX$121</f>
        <v>1</v>
      </c>
      <c r="AY57" s="115">
        <f>'[8]FY20 Initial Budget Allocat (2)'!AY57/'FY20 Initial Budget Allocat FTE'!AY$121</f>
        <v>1</v>
      </c>
      <c r="AZ57" s="115">
        <f>'[8]FY20 Initial Budget Allocat (2)'!AZ57/'FY20 Initial Budget Allocat FTE'!AZ$121</f>
        <v>4</v>
      </c>
      <c r="BA57" s="115">
        <f>'[8]FY20 Initial Budget Allocat (2)'!BA57/'FY20 Initial Budget Allocat FTE'!BA$121</f>
        <v>4</v>
      </c>
      <c r="BB57" s="115">
        <f>'[8]FY20 Initial Budget Allocat (2)'!BB57/'FY20 Initial Budget Allocat FTE'!BB$121</f>
        <v>0</v>
      </c>
      <c r="BC57" s="115">
        <f>'[8]FY20 Initial Budget Allocat (2)'!BC57/'FY20 Initial Budget Allocat FTE'!BC$121</f>
        <v>0</v>
      </c>
      <c r="BD57" s="115">
        <f>'[8]FY20 Initial Budget Allocat (2)'!BD57/'FY20 Initial Budget Allocat FTE'!BD$121</f>
        <v>1</v>
      </c>
      <c r="BE57" s="115">
        <f>'[8]FY20 Initial Budget Allocat (2)'!BE57/'FY20 Initial Budget Allocat FTE'!BE$121</f>
        <v>0</v>
      </c>
      <c r="BF57" s="115">
        <f>'[8]FY20 Initial Budget Allocat (2)'!BF57/'FY20 Initial Budget Allocat FTE'!BF$121</f>
        <v>0</v>
      </c>
      <c r="BG57" s="115">
        <f>'[8]FY20 Initial Budget Allocat (2)'!BG57/'FY20 Initial Budget Allocat FTE'!BG$121</f>
        <v>2.1252589375208819</v>
      </c>
      <c r="BH57" s="115">
        <f>'[8]FY20 Initial Budget Allocat (2)'!BH57/'FY20 Initial Budget Allocat FTE'!BH$121</f>
        <v>6</v>
      </c>
      <c r="BI57" s="115">
        <f>'[8]FY20 Initial Budget Allocat (2)'!BI57/'FY20 Initial Budget Allocat FTE'!BI$121</f>
        <v>0</v>
      </c>
      <c r="BJ57" s="79"/>
      <c r="BK57" s="79">
        <v>0</v>
      </c>
      <c r="BL57" s="79">
        <v>23194.2</v>
      </c>
      <c r="BM57" s="79">
        <v>152599.91</v>
      </c>
      <c r="BN57" s="79">
        <v>2428.2600000000002</v>
      </c>
      <c r="BO57" s="79">
        <v>0</v>
      </c>
      <c r="BP57" s="115">
        <f>'[8]FY20 Initial Budget Allocat (2)'!BP57/'FY20 Initial Budget Allocat FTE'!BP$121</f>
        <v>0</v>
      </c>
      <c r="BQ57" s="115">
        <f>'[8]FY20 Initial Budget Allocat (2)'!BQ57/'FY20 Initial Budget Allocat FTE'!BQ$121</f>
        <v>0</v>
      </c>
      <c r="BR57" s="115">
        <f>'[8]FY20 Initial Budget Allocat (2)'!BR57/'FY20 Initial Budget Allocat FTE'!BR$121</f>
        <v>0</v>
      </c>
      <c r="BS57" s="115">
        <f>'[8]FY20 Initial Budget Allocat (2)'!BS57/'FY20 Initial Budget Allocat FTE'!BS$121</f>
        <v>0</v>
      </c>
      <c r="BT57" s="115">
        <f>'[8]FY20 Initial Budget Allocat (2)'!BT57/'FY20 Initial Budget Allocat FTE'!BT$121</f>
        <v>0</v>
      </c>
      <c r="BU57" s="115">
        <f>'[8]FY20 Initial Budget Allocat (2)'!BU57/'FY20 Initial Budget Allocat FTE'!BU$121</f>
        <v>0</v>
      </c>
      <c r="BV57" s="115">
        <f>'[8]FY20 Initial Budget Allocat (2)'!BV57/'FY20 Initial Budget Allocat FTE'!BV$121</f>
        <v>0</v>
      </c>
      <c r="BW57" s="80">
        <v>0</v>
      </c>
      <c r="BX57" s="80">
        <v>0</v>
      </c>
      <c r="BY57" s="80">
        <v>0</v>
      </c>
      <c r="BZ57" s="80">
        <v>0</v>
      </c>
      <c r="CA57" s="115">
        <f>'[8]FY20 Initial Budget Allocat (2)'!CA57/'FY20 Initial Budget Allocat FTE'!CA$121</f>
        <v>0</v>
      </c>
      <c r="CB57" s="115">
        <f>'[8]FY20 Initial Budget Allocat (2)'!CB57/'FY20 Initial Budget Allocat FTE'!CB$121</f>
        <v>0</v>
      </c>
      <c r="CC57" s="80">
        <v>0</v>
      </c>
      <c r="CD57" s="115">
        <f>'[8]FY20 Initial Budget Allocat (2)'!CD57/'FY20 Initial Budget Allocat FTE'!CD$121</f>
        <v>0</v>
      </c>
      <c r="CE57" s="115">
        <f>'[8]FY20 Initial Budget Allocat (2)'!CE57/'FY20 Initial Budget Allocat FTE'!CE$121</f>
        <v>0</v>
      </c>
      <c r="CF57" s="115">
        <f>'[8]FY20 Initial Budget Allocat (2)'!CF57/'FY20 Initial Budget Allocat FTE'!CF$121</f>
        <v>0</v>
      </c>
      <c r="CG57" s="115">
        <f>'[8]FY20 Initial Budget Allocat (2)'!CG57/'FY20 Initial Budget Allocat FTE'!CG$121</f>
        <v>0</v>
      </c>
      <c r="CH57" s="115">
        <f>'[8]FY20 Initial Budget Allocat (2)'!CH57/'FY20 Initial Budget Allocat FTE'!CH$121</f>
        <v>0</v>
      </c>
      <c r="CI57" s="115">
        <f>'[8]FY20 Initial Budget Allocat (2)'!CI57/'FY20 Initial Budget Allocat FTE'!CI$121</f>
        <v>0</v>
      </c>
      <c r="CJ57" s="115">
        <f>'[8]FY20 Initial Budget Allocat (2)'!CJ57/'FY20 Initial Budget Allocat FTE'!CJ$121</f>
        <v>0</v>
      </c>
      <c r="CK57" s="79">
        <v>0</v>
      </c>
      <c r="CL57" s="79">
        <v>0</v>
      </c>
      <c r="CM57" s="79">
        <v>54082.8</v>
      </c>
      <c r="CN57" s="79">
        <v>0</v>
      </c>
      <c r="CO57" s="115">
        <f>'[8]FY20 Initial Budget Allocat (2)'!CO57/'FY20 Initial Budget Allocat FTE'!CO$121</f>
        <v>0</v>
      </c>
      <c r="CP57" s="79">
        <v>0</v>
      </c>
      <c r="CQ57" s="79">
        <v>4386.1492537313443</v>
      </c>
      <c r="CR57" s="79">
        <v>0</v>
      </c>
      <c r="CS57" s="79">
        <v>21459.52</v>
      </c>
      <c r="CT57" s="115">
        <f>'[8]FY20 Initial Budget Allocat (2)'!CT57/'FY20 Initial Budget Allocat FTE'!CT$121</f>
        <v>0</v>
      </c>
      <c r="CU57" s="115">
        <f>'[8]FY20 Initial Budget Allocat (2)'!CU57/'FY20 Initial Budget Allocat FTE'!CU$121</f>
        <v>0</v>
      </c>
      <c r="CV57" s="79"/>
      <c r="CW57" s="79">
        <v>0</v>
      </c>
      <c r="CX57" s="115">
        <f>'[8]FY20 Initial Budget Allocat (2)'!CX57/'FY20 Initial Budget Allocat FTE'!CX$121</f>
        <v>0</v>
      </c>
      <c r="CY57" s="79">
        <v>0</v>
      </c>
      <c r="CZ57" s="79">
        <v>0</v>
      </c>
      <c r="DA57" s="79">
        <v>36800</v>
      </c>
      <c r="DB57" s="79">
        <v>74314.373616774697</v>
      </c>
      <c r="DC57" s="82">
        <v>0</v>
      </c>
      <c r="DD57" s="79">
        <v>0</v>
      </c>
      <c r="DE57" s="79"/>
      <c r="DF57" s="79">
        <v>8200</v>
      </c>
      <c r="DG57" s="79">
        <v>0</v>
      </c>
      <c r="DH57" s="83">
        <v>0</v>
      </c>
      <c r="DI57" s="79">
        <v>13694.72450107849</v>
      </c>
      <c r="DJ57" s="79">
        <v>5039658.6163968844</v>
      </c>
      <c r="DK57" s="84">
        <v>19124.383603115566</v>
      </c>
      <c r="DL57" s="84">
        <v>0</v>
      </c>
      <c r="DM57" s="84">
        <f t="shared" si="0"/>
        <v>5058783</v>
      </c>
      <c r="DN57" s="116">
        <f t="shared" si="1"/>
        <v>8</v>
      </c>
      <c r="DO57" s="116">
        <f t="shared" si="2"/>
        <v>8</v>
      </c>
      <c r="DP57" s="116">
        <f t="shared" si="3"/>
        <v>12</v>
      </c>
      <c r="DQ57" s="116">
        <f t="shared" si="4"/>
        <v>7</v>
      </c>
      <c r="DR57" s="116">
        <f t="shared" si="5"/>
        <v>4</v>
      </c>
    </row>
    <row r="58" spans="1:122" x14ac:dyDescent="0.25">
      <c r="A58" s="76">
        <v>370</v>
      </c>
      <c r="B58" s="76" t="s">
        <v>197</v>
      </c>
      <c r="C58" s="77" t="s">
        <v>135</v>
      </c>
      <c r="D58" s="41">
        <v>5</v>
      </c>
      <c r="E58" s="78">
        <v>308</v>
      </c>
      <c r="F58" s="78">
        <v>192.70422535211267</v>
      </c>
      <c r="G58" s="115">
        <f>'[8]FY20 Initial Budget Allocat (2)'!G58/'FY20 Initial Budget Allocat FTE'!G$121</f>
        <v>1</v>
      </c>
      <c r="H58" s="115">
        <f>'[8]FY20 Initial Budget Allocat (2)'!H58/'FY20 Initial Budget Allocat FTE'!H$121</f>
        <v>1</v>
      </c>
      <c r="I58" s="115">
        <f>'[8]FY20 Initial Budget Allocat (2)'!I58/'FY20 Initial Budget Allocat FTE'!I$121</f>
        <v>0.8</v>
      </c>
      <c r="J58" s="115">
        <f>'[8]FY20 Initial Budget Allocat (2)'!J58/'FY20 Initial Budget Allocat FTE'!J$121</f>
        <v>0</v>
      </c>
      <c r="K58" s="115">
        <f>'[8]FY20 Initial Budget Allocat (2)'!K58/'FY20 Initial Budget Allocat FTE'!K$121</f>
        <v>0</v>
      </c>
      <c r="L58" s="115">
        <f>'[8]FY20 Initial Budget Allocat (2)'!L58/'FY20 Initial Budget Allocat FTE'!L$121</f>
        <v>1</v>
      </c>
      <c r="M58" s="115">
        <f>'[8]FY20 Initial Budget Allocat (2)'!M58/'FY20 Initial Budget Allocat FTE'!M$121</f>
        <v>1</v>
      </c>
      <c r="N58" s="115">
        <f>'[8]FY20 Initial Budget Allocat (2)'!N58/'FY20 Initial Budget Allocat FTE'!N$121</f>
        <v>0</v>
      </c>
      <c r="O58" s="115">
        <f>'[8]FY20 Initial Budget Allocat (2)'!O58/'FY20 Initial Budget Allocat FTE'!O$121</f>
        <v>0</v>
      </c>
      <c r="P58" s="115">
        <f>'[8]FY20 Initial Budget Allocat (2)'!P58/'FY20 Initial Budget Allocat FTE'!P$121</f>
        <v>0</v>
      </c>
      <c r="Q58" s="115">
        <f>'[8]FY20 Initial Budget Allocat (2)'!Q58/'FY20 Initial Budget Allocat FTE'!Q$121</f>
        <v>0</v>
      </c>
      <c r="R58" s="115">
        <f>'[8]FY20 Initial Budget Allocat (2)'!R58/'FY20 Initial Budget Allocat FTE'!R$121</f>
        <v>1</v>
      </c>
      <c r="S58" s="115">
        <f>'[8]FY20 Initial Budget Allocat (2)'!S58/'FY20 Initial Budget Allocat FTE'!S$121</f>
        <v>1</v>
      </c>
      <c r="T58" s="115">
        <f>'[8]FY20 Initial Budget Allocat (2)'!T58/'FY20 Initial Budget Allocat FTE'!T$121</f>
        <v>2</v>
      </c>
      <c r="U58" s="115">
        <f>'[8]FY20 Initial Budget Allocat (2)'!U58/'FY20 Initial Budget Allocat FTE'!U$121</f>
        <v>1</v>
      </c>
      <c r="V58" s="115">
        <f>'[8]FY20 Initial Budget Allocat (2)'!V58/'FY20 Initial Budget Allocat FTE'!V$121</f>
        <v>1</v>
      </c>
      <c r="W58" s="115">
        <f>'[8]FY20 Initial Budget Allocat (2)'!W58/'FY20 Initial Budget Allocat FTE'!W$121</f>
        <v>1</v>
      </c>
      <c r="X58" s="115">
        <f>'[8]FY20 Initial Budget Allocat (2)'!X58/'FY20 Initial Budget Allocat FTE'!X$121</f>
        <v>1</v>
      </c>
      <c r="Y58" s="115">
        <f>'[8]FY20 Initial Budget Allocat (2)'!Y58/'FY20 Initial Budget Allocat FTE'!Y$121</f>
        <v>0</v>
      </c>
      <c r="Z58" s="115">
        <f>'[8]FY20 Initial Budget Allocat (2)'!Z58/'FY20 Initial Budget Allocat FTE'!Z$121</f>
        <v>0</v>
      </c>
      <c r="AA58" s="115">
        <f>'[8]FY20 Initial Budget Allocat (2)'!AA58/'FY20 Initial Budget Allocat FTE'!AA$121</f>
        <v>3.0000000000000004</v>
      </c>
      <c r="AB58" s="115">
        <f>'[8]FY20 Initial Budget Allocat (2)'!AB58/'FY20 Initial Budget Allocat FTE'!AB$121</f>
        <v>3</v>
      </c>
      <c r="AC58" s="115">
        <f>'[8]FY20 Initial Budget Allocat (2)'!AC58/'FY20 Initial Budget Allocat FTE'!AC$121</f>
        <v>0</v>
      </c>
      <c r="AD58" s="115">
        <f>'[8]FY20 Initial Budget Allocat (2)'!AD58/'FY20 Initial Budget Allocat FTE'!AD$121</f>
        <v>0</v>
      </c>
      <c r="AE58" s="115">
        <f>'[8]FY20 Initial Budget Allocat (2)'!AE58/'FY20 Initial Budget Allocat FTE'!AE$121</f>
        <v>2</v>
      </c>
      <c r="AF58" s="115">
        <f>'[8]FY20 Initial Budget Allocat (2)'!AF58/'FY20 Initial Budget Allocat FTE'!AF$121</f>
        <v>2</v>
      </c>
      <c r="AG58" s="115">
        <f>'[8]FY20 Initial Budget Allocat (2)'!AG58/'FY20 Initial Budget Allocat FTE'!AG$121</f>
        <v>2</v>
      </c>
      <c r="AH58" s="115">
        <f>'[8]FY20 Initial Budget Allocat (2)'!AH58/'FY20 Initial Budget Allocat FTE'!AH$121</f>
        <v>2</v>
      </c>
      <c r="AI58" s="115">
        <f>'[8]FY20 Initial Budget Allocat (2)'!AI58/'FY20 Initial Budget Allocat FTE'!AI$121</f>
        <v>2</v>
      </c>
      <c r="AJ58" s="115">
        <f>'[8]FY20 Initial Budget Allocat (2)'!AJ58/'FY20 Initial Budget Allocat FTE'!AJ$121</f>
        <v>2</v>
      </c>
      <c r="AK58" s="115">
        <f>'[8]FY20 Initial Budget Allocat (2)'!AK58/'FY20 Initial Budget Allocat FTE'!AK$121</f>
        <v>1</v>
      </c>
      <c r="AL58" s="115">
        <f>'[8]FY20 Initial Budget Allocat (2)'!AL58/'FY20 Initial Budget Allocat FTE'!AL$121</f>
        <v>2</v>
      </c>
      <c r="AM58" s="115">
        <f>'[8]FY20 Initial Budget Allocat (2)'!AM58/'FY20 Initial Budget Allocat FTE'!AM$121</f>
        <v>2</v>
      </c>
      <c r="AN58" s="115">
        <f>'[8]FY20 Initial Budget Allocat (2)'!AN58/'FY20 Initial Budget Allocat FTE'!AN$121</f>
        <v>0</v>
      </c>
      <c r="AO58" s="115">
        <f>'[8]FY20 Initial Budget Allocat (2)'!AO58/'FY20 Initial Budget Allocat FTE'!AO$121</f>
        <v>0</v>
      </c>
      <c r="AP58" s="115">
        <f>'[8]FY20 Initial Budget Allocat (2)'!AP58/'FY20 Initial Budget Allocat FTE'!AP$121</f>
        <v>0</v>
      </c>
      <c r="AQ58" s="115">
        <f>'[8]FY20 Initial Budget Allocat (2)'!AQ58/'FY20 Initial Budget Allocat FTE'!AQ$121</f>
        <v>0</v>
      </c>
      <c r="AR58" s="115">
        <f>'[8]FY20 Initial Budget Allocat (2)'!AR58/'FY20 Initial Budget Allocat FTE'!AR$121</f>
        <v>0</v>
      </c>
      <c r="AS58" s="115">
        <f>'[8]FY20 Initial Budget Allocat (2)'!AS58/'FY20 Initial Budget Allocat FTE'!AS$121</f>
        <v>0</v>
      </c>
      <c r="AT58" s="115">
        <f>'[8]FY20 Initial Budget Allocat (2)'!AT58/'FY20 Initial Budget Allocat FTE'!AT$121</f>
        <v>0</v>
      </c>
      <c r="AU58" s="115">
        <f>'[8]FY20 Initial Budget Allocat (2)'!AU58/'FY20 Initial Budget Allocat FTE'!AU$121</f>
        <v>0</v>
      </c>
      <c r="AV58" s="115">
        <f>'[8]FY20 Initial Budget Allocat (2)'!AV58/'FY20 Initial Budget Allocat FTE'!AV$121</f>
        <v>0</v>
      </c>
      <c r="AW58" s="115">
        <f>'[8]FY20 Initial Budget Allocat (2)'!AW58/'FY20 Initial Budget Allocat FTE'!AW$121</f>
        <v>0</v>
      </c>
      <c r="AX58" s="115">
        <f>'[8]FY20 Initial Budget Allocat (2)'!AX58/'FY20 Initial Budget Allocat FTE'!AX$121</f>
        <v>1</v>
      </c>
      <c r="AY58" s="115">
        <f>'[8]FY20 Initial Budget Allocat (2)'!AY58/'FY20 Initial Budget Allocat FTE'!AY$121</f>
        <v>2</v>
      </c>
      <c r="AZ58" s="115">
        <f>'[8]FY20 Initial Budget Allocat (2)'!AZ58/'FY20 Initial Budget Allocat FTE'!AZ$121</f>
        <v>9</v>
      </c>
      <c r="BA58" s="115">
        <f>'[8]FY20 Initial Budget Allocat (2)'!BA58/'FY20 Initial Budget Allocat FTE'!BA$121</f>
        <v>10</v>
      </c>
      <c r="BB58" s="115">
        <f>'[8]FY20 Initial Budget Allocat (2)'!BB58/'FY20 Initial Budget Allocat FTE'!BB$121</f>
        <v>2</v>
      </c>
      <c r="BC58" s="115">
        <f>'[8]FY20 Initial Budget Allocat (2)'!BC58/'FY20 Initial Budget Allocat FTE'!BC$121</f>
        <v>1</v>
      </c>
      <c r="BD58" s="115">
        <f>'[8]FY20 Initial Budget Allocat (2)'!BD58/'FY20 Initial Budget Allocat FTE'!BD$121</f>
        <v>1</v>
      </c>
      <c r="BE58" s="115">
        <f>'[8]FY20 Initial Budget Allocat (2)'!BE58/'FY20 Initial Budget Allocat FTE'!BE$121</f>
        <v>0</v>
      </c>
      <c r="BF58" s="115">
        <f>'[8]FY20 Initial Budget Allocat (2)'!BF58/'FY20 Initial Budget Allocat FTE'!BF$121</f>
        <v>0</v>
      </c>
      <c r="BG58" s="115">
        <f>'[8]FY20 Initial Budget Allocat (2)'!BG58/'FY20 Initial Budget Allocat FTE'!BG$121</f>
        <v>2.062629468760441</v>
      </c>
      <c r="BH58" s="115">
        <f>'[8]FY20 Initial Budget Allocat (2)'!BH58/'FY20 Initial Budget Allocat FTE'!BH$121</f>
        <v>4</v>
      </c>
      <c r="BI58" s="115">
        <f>'[8]FY20 Initial Budget Allocat (2)'!BI58/'FY20 Initial Budget Allocat FTE'!BI$121</f>
        <v>1</v>
      </c>
      <c r="BJ58" s="79"/>
      <c r="BK58" s="79">
        <v>0</v>
      </c>
      <c r="BL58" s="79">
        <v>11597.1</v>
      </c>
      <c r="BM58" s="79">
        <v>130732.01</v>
      </c>
      <c r="BN58" s="79">
        <v>2080.2800000000002</v>
      </c>
      <c r="BO58" s="79">
        <v>0</v>
      </c>
      <c r="BP58" s="115">
        <f>'[8]FY20 Initial Budget Allocat (2)'!BP58/'FY20 Initial Budget Allocat FTE'!BP$121</f>
        <v>0</v>
      </c>
      <c r="BQ58" s="115">
        <f>'[8]FY20 Initial Budget Allocat (2)'!BQ58/'FY20 Initial Budget Allocat FTE'!BQ$121</f>
        <v>0</v>
      </c>
      <c r="BR58" s="115">
        <f>'[8]FY20 Initial Budget Allocat (2)'!BR58/'FY20 Initial Budget Allocat FTE'!BR$121</f>
        <v>0</v>
      </c>
      <c r="BS58" s="115">
        <f>'[8]FY20 Initial Budget Allocat (2)'!BS58/'FY20 Initial Budget Allocat FTE'!BS$121</f>
        <v>0</v>
      </c>
      <c r="BT58" s="115">
        <f>'[8]FY20 Initial Budget Allocat (2)'!BT58/'FY20 Initial Budget Allocat FTE'!BT$121</f>
        <v>0</v>
      </c>
      <c r="BU58" s="115">
        <f>'[8]FY20 Initial Budget Allocat (2)'!BU58/'FY20 Initial Budget Allocat FTE'!BU$121</f>
        <v>0</v>
      </c>
      <c r="BV58" s="115">
        <f>'[8]FY20 Initial Budget Allocat (2)'!BV58/'FY20 Initial Budget Allocat FTE'!BV$121</f>
        <v>0</v>
      </c>
      <c r="BW58" s="80">
        <v>0</v>
      </c>
      <c r="BX58" s="80">
        <v>0</v>
      </c>
      <c r="BY58" s="80">
        <v>0</v>
      </c>
      <c r="BZ58" s="80">
        <v>0</v>
      </c>
      <c r="CA58" s="115">
        <f>'[8]FY20 Initial Budget Allocat (2)'!CA58/'FY20 Initial Budget Allocat FTE'!CA$121</f>
        <v>0</v>
      </c>
      <c r="CB58" s="115">
        <f>'[8]FY20 Initial Budget Allocat (2)'!CB58/'FY20 Initial Budget Allocat FTE'!CB$121</f>
        <v>0</v>
      </c>
      <c r="CC58" s="80">
        <v>0</v>
      </c>
      <c r="CD58" s="115">
        <f>'[8]FY20 Initial Budget Allocat (2)'!CD58/'FY20 Initial Budget Allocat FTE'!CD$121</f>
        <v>0</v>
      </c>
      <c r="CE58" s="115">
        <f>'[8]FY20 Initial Budget Allocat (2)'!CE58/'FY20 Initial Budget Allocat FTE'!CE$121</f>
        <v>0</v>
      </c>
      <c r="CF58" s="115">
        <f>'[8]FY20 Initial Budget Allocat (2)'!CF58/'FY20 Initial Budget Allocat FTE'!CF$121</f>
        <v>0</v>
      </c>
      <c r="CG58" s="115">
        <f>'[8]FY20 Initial Budget Allocat (2)'!CG58/'FY20 Initial Budget Allocat FTE'!CG$121</f>
        <v>0</v>
      </c>
      <c r="CH58" s="115">
        <f>'[8]FY20 Initial Budget Allocat (2)'!CH58/'FY20 Initial Budget Allocat FTE'!CH$121</f>
        <v>0</v>
      </c>
      <c r="CI58" s="115">
        <f>'[8]FY20 Initial Budget Allocat (2)'!CI58/'FY20 Initial Budget Allocat FTE'!CI$121</f>
        <v>0</v>
      </c>
      <c r="CJ58" s="115">
        <f>'[8]FY20 Initial Budget Allocat (2)'!CJ58/'FY20 Initial Budget Allocat FTE'!CJ$121</f>
        <v>0</v>
      </c>
      <c r="CK58" s="79">
        <v>0</v>
      </c>
      <c r="CL58" s="79">
        <v>0</v>
      </c>
      <c r="CM58" s="79">
        <v>54082.8</v>
      </c>
      <c r="CN58" s="79">
        <v>0</v>
      </c>
      <c r="CO58" s="115">
        <f>'[8]FY20 Initial Budget Allocat (2)'!CO58/'FY20 Initial Budget Allocat FTE'!CO$121</f>
        <v>0</v>
      </c>
      <c r="CP58" s="79">
        <v>75000</v>
      </c>
      <c r="CQ58" s="79">
        <v>3854.0845070422533</v>
      </c>
      <c r="CR58" s="79">
        <v>0</v>
      </c>
      <c r="CS58" s="79">
        <v>17960.022641509433</v>
      </c>
      <c r="CT58" s="115">
        <f>'[8]FY20 Initial Budget Allocat (2)'!CT58/'FY20 Initial Budget Allocat FTE'!CT$121</f>
        <v>0</v>
      </c>
      <c r="CU58" s="115">
        <f>'[8]FY20 Initial Budget Allocat (2)'!CU58/'FY20 Initial Budget Allocat FTE'!CU$121</f>
        <v>0</v>
      </c>
      <c r="CV58" s="79"/>
      <c r="CW58" s="79">
        <v>0</v>
      </c>
      <c r="CX58" s="115">
        <f>'[8]FY20 Initial Budget Allocat (2)'!CX58/'FY20 Initial Budget Allocat FTE'!CX$121</f>
        <v>0</v>
      </c>
      <c r="CY58" s="79">
        <v>0</v>
      </c>
      <c r="CZ58" s="79">
        <v>0</v>
      </c>
      <c r="DA58" s="79">
        <v>30800</v>
      </c>
      <c r="DB58" s="79">
        <v>82824.388907855056</v>
      </c>
      <c r="DC58" s="82">
        <v>0</v>
      </c>
      <c r="DD58" s="79">
        <v>134050</v>
      </c>
      <c r="DE58" s="79"/>
      <c r="DF58" s="79">
        <v>20700</v>
      </c>
      <c r="DG58" s="79">
        <v>0</v>
      </c>
      <c r="DH58" s="83">
        <v>0</v>
      </c>
      <c r="DI58" s="79">
        <v>18667.47262308688</v>
      </c>
      <c r="DJ58" s="79">
        <v>5749581.5679107588</v>
      </c>
      <c r="DK58" s="84">
        <v>54557.432089241222</v>
      </c>
      <c r="DL58" s="84">
        <v>0</v>
      </c>
      <c r="DM58" s="84">
        <f t="shared" si="0"/>
        <v>5804139</v>
      </c>
      <c r="DN58" s="116">
        <f t="shared" si="1"/>
        <v>7</v>
      </c>
      <c r="DO58" s="116">
        <f t="shared" si="2"/>
        <v>7</v>
      </c>
      <c r="DP58" s="116">
        <f t="shared" si="3"/>
        <v>9</v>
      </c>
      <c r="DQ58" s="116">
        <f t="shared" si="4"/>
        <v>13</v>
      </c>
      <c r="DR58" s="116">
        <f t="shared" si="5"/>
        <v>10</v>
      </c>
    </row>
    <row r="59" spans="1:122" x14ac:dyDescent="0.25">
      <c r="A59" s="76">
        <v>264</v>
      </c>
      <c r="B59" s="76" t="s">
        <v>198</v>
      </c>
      <c r="C59" s="77" t="s">
        <v>150</v>
      </c>
      <c r="D59" s="41">
        <v>4</v>
      </c>
      <c r="E59" s="78">
        <v>365</v>
      </c>
      <c r="F59" s="78">
        <v>216</v>
      </c>
      <c r="G59" s="115">
        <f>'[8]FY20 Initial Budget Allocat (2)'!G59/'FY20 Initial Budget Allocat FTE'!G$121</f>
        <v>1</v>
      </c>
      <c r="H59" s="115">
        <f>'[8]FY20 Initial Budget Allocat (2)'!H59/'FY20 Initial Budget Allocat FTE'!H$121</f>
        <v>1</v>
      </c>
      <c r="I59" s="115">
        <f>'[8]FY20 Initial Budget Allocat (2)'!I59/'FY20 Initial Budget Allocat FTE'!I$121</f>
        <v>0.3</v>
      </c>
      <c r="J59" s="115">
        <f>'[8]FY20 Initial Budget Allocat (2)'!J59/'FY20 Initial Budget Allocat FTE'!J$121</f>
        <v>1</v>
      </c>
      <c r="K59" s="115">
        <f>'[8]FY20 Initial Budget Allocat (2)'!K59/'FY20 Initial Budget Allocat FTE'!K$121</f>
        <v>0</v>
      </c>
      <c r="L59" s="115">
        <f>'[8]FY20 Initial Budget Allocat (2)'!L59/'FY20 Initial Budget Allocat FTE'!L$121</f>
        <v>1</v>
      </c>
      <c r="M59" s="115">
        <f>'[8]FY20 Initial Budget Allocat (2)'!M59/'FY20 Initial Budget Allocat FTE'!M$121</f>
        <v>1</v>
      </c>
      <c r="N59" s="115">
        <f>'[8]FY20 Initial Budget Allocat (2)'!N59/'FY20 Initial Budget Allocat FTE'!N$121</f>
        <v>0</v>
      </c>
      <c r="O59" s="115">
        <f>'[8]FY20 Initial Budget Allocat (2)'!O59/'FY20 Initial Budget Allocat FTE'!O$121</f>
        <v>0</v>
      </c>
      <c r="P59" s="115">
        <f>'[8]FY20 Initial Budget Allocat (2)'!P59/'FY20 Initial Budget Allocat FTE'!P$121</f>
        <v>0</v>
      </c>
      <c r="Q59" s="115">
        <f>'[8]FY20 Initial Budget Allocat (2)'!Q59/'FY20 Initial Budget Allocat FTE'!Q$121</f>
        <v>0</v>
      </c>
      <c r="R59" s="115">
        <f>'[8]FY20 Initial Budget Allocat (2)'!R59/'FY20 Initial Budget Allocat FTE'!R$121</f>
        <v>1</v>
      </c>
      <c r="S59" s="115">
        <f>'[8]FY20 Initial Budget Allocat (2)'!S59/'FY20 Initial Budget Allocat FTE'!S$121</f>
        <v>1</v>
      </c>
      <c r="T59" s="115">
        <f>'[8]FY20 Initial Budget Allocat (2)'!T59/'FY20 Initial Budget Allocat FTE'!T$121</f>
        <v>2</v>
      </c>
      <c r="U59" s="115">
        <f>'[8]FY20 Initial Budget Allocat (2)'!U59/'FY20 Initial Budget Allocat FTE'!U$121</f>
        <v>1</v>
      </c>
      <c r="V59" s="115">
        <f>'[8]FY20 Initial Budget Allocat (2)'!V59/'FY20 Initial Budget Allocat FTE'!V$121</f>
        <v>1</v>
      </c>
      <c r="W59" s="115">
        <f>'[8]FY20 Initial Budget Allocat (2)'!W59/'FY20 Initial Budget Allocat FTE'!W$121</f>
        <v>1</v>
      </c>
      <c r="X59" s="115">
        <f>'[8]FY20 Initial Budget Allocat (2)'!X59/'FY20 Initial Budget Allocat FTE'!X$121</f>
        <v>1</v>
      </c>
      <c r="Y59" s="115">
        <f>'[8]FY20 Initial Budget Allocat (2)'!Y59/'FY20 Initial Budget Allocat FTE'!Y$121</f>
        <v>0</v>
      </c>
      <c r="Z59" s="115">
        <f>'[8]FY20 Initial Budget Allocat (2)'!Z59/'FY20 Initial Budget Allocat FTE'!Z$121</f>
        <v>0</v>
      </c>
      <c r="AA59" s="115">
        <f>'[8]FY20 Initial Budget Allocat (2)'!AA59/'FY20 Initial Budget Allocat FTE'!AA$121</f>
        <v>1</v>
      </c>
      <c r="AB59" s="115">
        <f>'[8]FY20 Initial Budget Allocat (2)'!AB59/'FY20 Initial Budget Allocat FTE'!AB$121</f>
        <v>1</v>
      </c>
      <c r="AC59" s="115">
        <f>'[8]FY20 Initial Budget Allocat (2)'!AC59/'FY20 Initial Budget Allocat FTE'!AC$121</f>
        <v>2</v>
      </c>
      <c r="AD59" s="115">
        <f>'[8]FY20 Initial Budget Allocat (2)'!AD59/'FY20 Initial Budget Allocat FTE'!AD$121</f>
        <v>2</v>
      </c>
      <c r="AE59" s="115">
        <f>'[8]FY20 Initial Budget Allocat (2)'!AE59/'FY20 Initial Budget Allocat FTE'!AE$121</f>
        <v>1</v>
      </c>
      <c r="AF59" s="115">
        <f>'[8]FY20 Initial Budget Allocat (2)'!AF59/'FY20 Initial Budget Allocat FTE'!AF$121</f>
        <v>1</v>
      </c>
      <c r="AG59" s="115">
        <f>'[8]FY20 Initial Budget Allocat (2)'!AG59/'FY20 Initial Budget Allocat FTE'!AG$121</f>
        <v>2</v>
      </c>
      <c r="AH59" s="115">
        <f>'[8]FY20 Initial Budget Allocat (2)'!AH59/'FY20 Initial Budget Allocat FTE'!AH$121</f>
        <v>2</v>
      </c>
      <c r="AI59" s="115">
        <f>'[8]FY20 Initial Budget Allocat (2)'!AI59/'FY20 Initial Budget Allocat FTE'!AI$121</f>
        <v>2</v>
      </c>
      <c r="AJ59" s="115">
        <f>'[8]FY20 Initial Budget Allocat (2)'!AJ59/'FY20 Initial Budget Allocat FTE'!AJ$121</f>
        <v>2</v>
      </c>
      <c r="AK59" s="115">
        <f>'[8]FY20 Initial Budget Allocat (2)'!AK59/'FY20 Initial Budget Allocat FTE'!AK$121</f>
        <v>3.0000000000000004</v>
      </c>
      <c r="AL59" s="115">
        <f>'[8]FY20 Initial Budget Allocat (2)'!AL59/'FY20 Initial Budget Allocat FTE'!AL$121</f>
        <v>2</v>
      </c>
      <c r="AM59" s="115">
        <f>'[8]FY20 Initial Budget Allocat (2)'!AM59/'FY20 Initial Budget Allocat FTE'!AM$121</f>
        <v>1</v>
      </c>
      <c r="AN59" s="115">
        <f>'[8]FY20 Initial Budget Allocat (2)'!AN59/'FY20 Initial Budget Allocat FTE'!AN$121</f>
        <v>0</v>
      </c>
      <c r="AO59" s="115">
        <f>'[8]FY20 Initial Budget Allocat (2)'!AO59/'FY20 Initial Budget Allocat FTE'!AO$121</f>
        <v>1.8</v>
      </c>
      <c r="AP59" s="115">
        <f>'[8]FY20 Initial Budget Allocat (2)'!AP59/'FY20 Initial Budget Allocat FTE'!AP$121</f>
        <v>1.9</v>
      </c>
      <c r="AQ59" s="115">
        <f>'[8]FY20 Initial Budget Allocat (2)'!AQ59/'FY20 Initial Budget Allocat FTE'!AQ$121</f>
        <v>0</v>
      </c>
      <c r="AR59" s="115">
        <f>'[8]FY20 Initial Budget Allocat (2)'!AR59/'FY20 Initial Budget Allocat FTE'!AR$121</f>
        <v>0</v>
      </c>
      <c r="AS59" s="115">
        <f>'[8]FY20 Initial Budget Allocat (2)'!AS59/'FY20 Initial Budget Allocat FTE'!AS$121</f>
        <v>0</v>
      </c>
      <c r="AT59" s="115">
        <f>'[8]FY20 Initial Budget Allocat (2)'!AT59/'FY20 Initial Budget Allocat FTE'!AT$121</f>
        <v>0</v>
      </c>
      <c r="AU59" s="115">
        <f>'[8]FY20 Initial Budget Allocat (2)'!AU59/'FY20 Initial Budget Allocat FTE'!AU$121</f>
        <v>0</v>
      </c>
      <c r="AV59" s="115">
        <f>'[8]FY20 Initial Budget Allocat (2)'!AV59/'FY20 Initial Budget Allocat FTE'!AV$121</f>
        <v>0</v>
      </c>
      <c r="AW59" s="115">
        <f>'[8]FY20 Initial Budget Allocat (2)'!AW59/'FY20 Initial Budget Allocat FTE'!AW$121</f>
        <v>0</v>
      </c>
      <c r="AX59" s="115">
        <f>'[8]FY20 Initial Budget Allocat (2)'!AX59/'FY20 Initial Budget Allocat FTE'!AX$121</f>
        <v>1</v>
      </c>
      <c r="AY59" s="115">
        <f>'[8]FY20 Initial Budget Allocat (2)'!AY59/'FY20 Initial Budget Allocat FTE'!AY$121</f>
        <v>3.0000000000000004</v>
      </c>
      <c r="AZ59" s="115">
        <f>'[8]FY20 Initial Budget Allocat (2)'!AZ59/'FY20 Initial Budget Allocat FTE'!AZ$121</f>
        <v>8</v>
      </c>
      <c r="BA59" s="115">
        <f>'[8]FY20 Initial Budget Allocat (2)'!BA59/'FY20 Initial Budget Allocat FTE'!BA$121</f>
        <v>4</v>
      </c>
      <c r="BB59" s="115">
        <f>'[8]FY20 Initial Budget Allocat (2)'!BB59/'FY20 Initial Budget Allocat FTE'!BB$121</f>
        <v>3</v>
      </c>
      <c r="BC59" s="115">
        <f>'[8]FY20 Initial Budget Allocat (2)'!BC59/'FY20 Initial Budget Allocat FTE'!BC$121</f>
        <v>0</v>
      </c>
      <c r="BD59" s="115">
        <f>'[8]FY20 Initial Budget Allocat (2)'!BD59/'FY20 Initial Budget Allocat FTE'!BD$121</f>
        <v>8</v>
      </c>
      <c r="BE59" s="115">
        <f>'[8]FY20 Initial Budget Allocat (2)'!BE59/'FY20 Initial Budget Allocat FTE'!BE$121</f>
        <v>0</v>
      </c>
      <c r="BF59" s="115">
        <f>'[8]FY20 Initial Budget Allocat (2)'!BF59/'FY20 Initial Budget Allocat FTE'!BF$121</f>
        <v>1</v>
      </c>
      <c r="BG59" s="115">
        <f>'[8]FY20 Initial Budget Allocat (2)'!BG59/'FY20 Initial Budget Allocat FTE'!BG$121</f>
        <v>1.1252589375208819</v>
      </c>
      <c r="BH59" s="115">
        <f>'[8]FY20 Initial Budget Allocat (2)'!BH59/'FY20 Initial Budget Allocat FTE'!BH$121</f>
        <v>5</v>
      </c>
      <c r="BI59" s="115">
        <f>'[8]FY20 Initial Budget Allocat (2)'!BI59/'FY20 Initial Budget Allocat FTE'!BI$121</f>
        <v>1</v>
      </c>
      <c r="BJ59" s="79"/>
      <c r="BK59" s="79">
        <v>0</v>
      </c>
      <c r="BL59" s="79">
        <v>23194.2</v>
      </c>
      <c r="BM59" s="79">
        <v>172090.87</v>
      </c>
      <c r="BN59" s="79">
        <v>2738.41</v>
      </c>
      <c r="BO59" s="79">
        <v>0</v>
      </c>
      <c r="BP59" s="115">
        <f>'[8]FY20 Initial Budget Allocat (2)'!BP59/'FY20 Initial Budget Allocat FTE'!BP$121</f>
        <v>0</v>
      </c>
      <c r="BQ59" s="115">
        <f>'[8]FY20 Initial Budget Allocat (2)'!BQ59/'FY20 Initial Budget Allocat FTE'!BQ$121</f>
        <v>0</v>
      </c>
      <c r="BR59" s="115">
        <f>'[8]FY20 Initial Budget Allocat (2)'!BR59/'FY20 Initial Budget Allocat FTE'!BR$121</f>
        <v>0</v>
      </c>
      <c r="BS59" s="115">
        <f>'[8]FY20 Initial Budget Allocat (2)'!BS59/'FY20 Initial Budget Allocat FTE'!BS$121</f>
        <v>0</v>
      </c>
      <c r="BT59" s="115">
        <f>'[8]FY20 Initial Budget Allocat (2)'!BT59/'FY20 Initial Budget Allocat FTE'!BT$121</f>
        <v>0</v>
      </c>
      <c r="BU59" s="115">
        <f>'[8]FY20 Initial Budget Allocat (2)'!BU59/'FY20 Initial Budget Allocat FTE'!BU$121</f>
        <v>0</v>
      </c>
      <c r="BV59" s="115">
        <f>'[8]FY20 Initial Budget Allocat (2)'!BV59/'FY20 Initial Budget Allocat FTE'!BV$121</f>
        <v>0</v>
      </c>
      <c r="BW59" s="80">
        <v>0</v>
      </c>
      <c r="BX59" s="80">
        <v>0</v>
      </c>
      <c r="BY59" s="80">
        <v>0</v>
      </c>
      <c r="BZ59" s="80">
        <v>0</v>
      </c>
      <c r="CA59" s="115">
        <f>'[8]FY20 Initial Budget Allocat (2)'!CA59/'FY20 Initial Budget Allocat FTE'!CA$121</f>
        <v>0</v>
      </c>
      <c r="CB59" s="115">
        <f>'[8]FY20 Initial Budget Allocat (2)'!CB59/'FY20 Initial Budget Allocat FTE'!CB$121</f>
        <v>0</v>
      </c>
      <c r="CC59" s="80">
        <v>0</v>
      </c>
      <c r="CD59" s="115">
        <f>'[8]FY20 Initial Budget Allocat (2)'!CD59/'FY20 Initial Budget Allocat FTE'!CD$121</f>
        <v>0</v>
      </c>
      <c r="CE59" s="115">
        <f>'[8]FY20 Initial Budget Allocat (2)'!CE59/'FY20 Initial Budget Allocat FTE'!CE$121</f>
        <v>0</v>
      </c>
      <c r="CF59" s="115">
        <f>'[8]FY20 Initial Budget Allocat (2)'!CF59/'FY20 Initial Budget Allocat FTE'!CF$121</f>
        <v>0</v>
      </c>
      <c r="CG59" s="115">
        <f>'[8]FY20 Initial Budget Allocat (2)'!CG59/'FY20 Initial Budget Allocat FTE'!CG$121</f>
        <v>0</v>
      </c>
      <c r="CH59" s="115">
        <f>'[8]FY20 Initial Budget Allocat (2)'!CH59/'FY20 Initial Budget Allocat FTE'!CH$121</f>
        <v>0</v>
      </c>
      <c r="CI59" s="115">
        <f>'[8]FY20 Initial Budget Allocat (2)'!CI59/'FY20 Initial Budget Allocat FTE'!CI$121</f>
        <v>2</v>
      </c>
      <c r="CJ59" s="115">
        <f>'[8]FY20 Initial Budget Allocat (2)'!CJ59/'FY20 Initial Budget Allocat FTE'!CJ$121</f>
        <v>0</v>
      </c>
      <c r="CK59" s="79">
        <v>23000</v>
      </c>
      <c r="CL59" s="79">
        <v>5000</v>
      </c>
      <c r="CM59" s="79">
        <v>108165.6</v>
      </c>
      <c r="CN59" s="79">
        <v>100000</v>
      </c>
      <c r="CO59" s="115">
        <f>'[8]FY20 Initial Budget Allocat (2)'!CO59/'FY20 Initial Budget Allocat FTE'!CO$121</f>
        <v>0</v>
      </c>
      <c r="CP59" s="79">
        <v>0</v>
      </c>
      <c r="CQ59" s="79">
        <v>4320</v>
      </c>
      <c r="CR59" s="79">
        <v>0</v>
      </c>
      <c r="CS59" s="79">
        <v>22033.075000000001</v>
      </c>
      <c r="CT59" s="115">
        <f>'[8]FY20 Initial Budget Allocat (2)'!CT59/'FY20 Initial Budget Allocat FTE'!CT$121</f>
        <v>0</v>
      </c>
      <c r="CU59" s="115">
        <f>'[8]FY20 Initial Budget Allocat (2)'!CU59/'FY20 Initial Budget Allocat FTE'!CU$121</f>
        <v>0</v>
      </c>
      <c r="CV59" s="79"/>
      <c r="CW59" s="79">
        <v>0</v>
      </c>
      <c r="CX59" s="115">
        <f>'[8]FY20 Initial Budget Allocat (2)'!CX59/'FY20 Initial Budget Allocat FTE'!CX$121</f>
        <v>0</v>
      </c>
      <c r="CY59" s="79">
        <v>0</v>
      </c>
      <c r="CZ59" s="79">
        <v>0</v>
      </c>
      <c r="DA59" s="79">
        <v>36500</v>
      </c>
      <c r="DB59" s="79">
        <v>104331.17690957717</v>
      </c>
      <c r="DC59" s="82">
        <v>0</v>
      </c>
      <c r="DD59" s="79">
        <v>0</v>
      </c>
      <c r="DE59" s="79"/>
      <c r="DF59" s="79">
        <v>38850</v>
      </c>
      <c r="DG59" s="79">
        <v>0</v>
      </c>
      <c r="DH59" s="83">
        <v>0</v>
      </c>
      <c r="DI59" s="79">
        <v>19347.809467084382</v>
      </c>
      <c r="DJ59" s="79">
        <v>7061950.4554857993</v>
      </c>
      <c r="DK59" s="84">
        <v>4.5142006129026413E-3</v>
      </c>
      <c r="DL59" s="84">
        <v>0</v>
      </c>
      <c r="DM59" s="84">
        <f t="shared" si="0"/>
        <v>7061950.46</v>
      </c>
      <c r="DN59" s="116">
        <f t="shared" si="1"/>
        <v>6</v>
      </c>
      <c r="DO59" s="116">
        <f t="shared" si="2"/>
        <v>6</v>
      </c>
      <c r="DP59" s="116">
        <f t="shared" si="3"/>
        <v>13.700000000000001</v>
      </c>
      <c r="DQ59" s="116">
        <f t="shared" si="4"/>
        <v>21</v>
      </c>
      <c r="DR59" s="116">
        <f t="shared" si="5"/>
        <v>4</v>
      </c>
    </row>
    <row r="60" spans="1:122" x14ac:dyDescent="0.25">
      <c r="A60" s="76">
        <v>266</v>
      </c>
      <c r="B60" s="76" t="s">
        <v>199</v>
      </c>
      <c r="C60" s="77" t="s">
        <v>150</v>
      </c>
      <c r="D60" s="41">
        <v>8</v>
      </c>
      <c r="E60" s="78">
        <v>519</v>
      </c>
      <c r="F60" s="78">
        <v>260</v>
      </c>
      <c r="G60" s="115">
        <f>'[8]FY20 Initial Budget Allocat (2)'!G60/'FY20 Initial Budget Allocat FTE'!G$121</f>
        <v>1</v>
      </c>
      <c r="H60" s="115">
        <f>'[8]FY20 Initial Budget Allocat (2)'!H60/'FY20 Initial Budget Allocat FTE'!H$121</f>
        <v>1</v>
      </c>
      <c r="I60" s="115">
        <f>'[8]FY20 Initial Budget Allocat (2)'!I60/'FY20 Initial Budget Allocat FTE'!I$121</f>
        <v>1.4</v>
      </c>
      <c r="J60" s="115">
        <f>'[8]FY20 Initial Budget Allocat (2)'!J60/'FY20 Initial Budget Allocat FTE'!J$121</f>
        <v>1</v>
      </c>
      <c r="K60" s="115">
        <f>'[8]FY20 Initial Budget Allocat (2)'!K60/'FY20 Initial Budget Allocat FTE'!K$121</f>
        <v>0</v>
      </c>
      <c r="L60" s="115">
        <f>'[8]FY20 Initial Budget Allocat (2)'!L60/'FY20 Initial Budget Allocat FTE'!L$121</f>
        <v>1</v>
      </c>
      <c r="M60" s="115">
        <f>'[8]FY20 Initial Budget Allocat (2)'!M60/'FY20 Initial Budget Allocat FTE'!M$121</f>
        <v>1</v>
      </c>
      <c r="N60" s="115">
        <f>'[8]FY20 Initial Budget Allocat (2)'!N60/'FY20 Initial Budget Allocat FTE'!N$121</f>
        <v>1.3</v>
      </c>
      <c r="O60" s="115">
        <f>'[8]FY20 Initial Budget Allocat (2)'!O60/'FY20 Initial Budget Allocat FTE'!O$121</f>
        <v>0</v>
      </c>
      <c r="P60" s="115">
        <f>'[8]FY20 Initial Budget Allocat (2)'!P60/'FY20 Initial Budget Allocat FTE'!P$121</f>
        <v>0</v>
      </c>
      <c r="Q60" s="115">
        <f>'[8]FY20 Initial Budget Allocat (2)'!Q60/'FY20 Initial Budget Allocat FTE'!Q$121</f>
        <v>0</v>
      </c>
      <c r="R60" s="115">
        <f>'[8]FY20 Initial Budget Allocat (2)'!R60/'FY20 Initial Budget Allocat FTE'!R$121</f>
        <v>1</v>
      </c>
      <c r="S60" s="115">
        <f>'[8]FY20 Initial Budget Allocat (2)'!S60/'FY20 Initial Budget Allocat FTE'!S$121</f>
        <v>1</v>
      </c>
      <c r="T60" s="115">
        <f>'[8]FY20 Initial Budget Allocat (2)'!T60/'FY20 Initial Budget Allocat FTE'!T$121</f>
        <v>3</v>
      </c>
      <c r="U60" s="115">
        <f>'[8]FY20 Initial Budget Allocat (2)'!U60/'FY20 Initial Budget Allocat FTE'!U$121</f>
        <v>1</v>
      </c>
      <c r="V60" s="115">
        <f>'[8]FY20 Initial Budget Allocat (2)'!V60/'FY20 Initial Budget Allocat FTE'!V$121</f>
        <v>1</v>
      </c>
      <c r="W60" s="115">
        <f>'[8]FY20 Initial Budget Allocat (2)'!W60/'FY20 Initial Budget Allocat FTE'!W$121</f>
        <v>1</v>
      </c>
      <c r="X60" s="115">
        <f>'[8]FY20 Initial Budget Allocat (2)'!X60/'FY20 Initial Budget Allocat FTE'!X$121</f>
        <v>1</v>
      </c>
      <c r="Y60" s="115">
        <f>'[8]FY20 Initial Budget Allocat (2)'!Y60/'FY20 Initial Budget Allocat FTE'!Y$121</f>
        <v>1.5000000000000002</v>
      </c>
      <c r="Z60" s="115">
        <f>'[8]FY20 Initial Budget Allocat (2)'!Z60/'FY20 Initial Budget Allocat FTE'!Z$121</f>
        <v>0</v>
      </c>
      <c r="AA60" s="115">
        <f>'[8]FY20 Initial Budget Allocat (2)'!AA60/'FY20 Initial Budget Allocat FTE'!AA$121</f>
        <v>3.0000000000000004</v>
      </c>
      <c r="AB60" s="115">
        <f>'[8]FY20 Initial Budget Allocat (2)'!AB60/'FY20 Initial Budget Allocat FTE'!AB$121</f>
        <v>3</v>
      </c>
      <c r="AC60" s="115">
        <f>'[8]FY20 Initial Budget Allocat (2)'!AC60/'FY20 Initial Budget Allocat FTE'!AC$121</f>
        <v>0</v>
      </c>
      <c r="AD60" s="115">
        <f>'[8]FY20 Initial Budget Allocat (2)'!AD60/'FY20 Initial Budget Allocat FTE'!AD$121</f>
        <v>0</v>
      </c>
      <c r="AE60" s="115">
        <f>'[8]FY20 Initial Budget Allocat (2)'!AE60/'FY20 Initial Budget Allocat FTE'!AE$121</f>
        <v>3.0000000000000004</v>
      </c>
      <c r="AF60" s="115">
        <f>'[8]FY20 Initial Budget Allocat (2)'!AF60/'FY20 Initial Budget Allocat FTE'!AF$121</f>
        <v>3</v>
      </c>
      <c r="AG60" s="115">
        <f>'[8]FY20 Initial Budget Allocat (2)'!AG60/'FY20 Initial Budget Allocat FTE'!AG$121</f>
        <v>3.0000000000000004</v>
      </c>
      <c r="AH60" s="115">
        <f>'[8]FY20 Initial Budget Allocat (2)'!AH60/'FY20 Initial Budget Allocat FTE'!AH$121</f>
        <v>3</v>
      </c>
      <c r="AI60" s="115">
        <f>'[8]FY20 Initial Budget Allocat (2)'!AI60/'FY20 Initial Budget Allocat FTE'!AI$121</f>
        <v>3.0000000000000004</v>
      </c>
      <c r="AJ60" s="115">
        <f>'[8]FY20 Initial Budget Allocat (2)'!AJ60/'FY20 Initial Budget Allocat FTE'!AJ$121</f>
        <v>3.0000000000000004</v>
      </c>
      <c r="AK60" s="115">
        <f>'[8]FY20 Initial Budget Allocat (2)'!AK60/'FY20 Initial Budget Allocat FTE'!AK$121</f>
        <v>3.0000000000000004</v>
      </c>
      <c r="AL60" s="115">
        <f>'[8]FY20 Initial Budget Allocat (2)'!AL60/'FY20 Initial Budget Allocat FTE'!AL$121</f>
        <v>3.0000000000000004</v>
      </c>
      <c r="AM60" s="115">
        <f>'[8]FY20 Initial Budget Allocat (2)'!AM60/'FY20 Initial Budget Allocat FTE'!AM$121</f>
        <v>2</v>
      </c>
      <c r="AN60" s="115">
        <f>'[8]FY20 Initial Budget Allocat (2)'!AN60/'FY20 Initial Budget Allocat FTE'!AN$121</f>
        <v>1.7</v>
      </c>
      <c r="AO60" s="115">
        <f>'[8]FY20 Initial Budget Allocat (2)'!AO60/'FY20 Initial Budget Allocat FTE'!AO$121</f>
        <v>1.3</v>
      </c>
      <c r="AP60" s="115">
        <f>'[8]FY20 Initial Budget Allocat (2)'!AP60/'FY20 Initial Budget Allocat FTE'!AP$121</f>
        <v>1</v>
      </c>
      <c r="AQ60" s="115">
        <f>'[8]FY20 Initial Budget Allocat (2)'!AQ60/'FY20 Initial Budget Allocat FTE'!AQ$121</f>
        <v>0</v>
      </c>
      <c r="AR60" s="115">
        <f>'[8]FY20 Initial Budget Allocat (2)'!AR60/'FY20 Initial Budget Allocat FTE'!AR$121</f>
        <v>0</v>
      </c>
      <c r="AS60" s="115">
        <f>'[8]FY20 Initial Budget Allocat (2)'!AS60/'FY20 Initial Budget Allocat FTE'!AS$121</f>
        <v>0</v>
      </c>
      <c r="AT60" s="115">
        <f>'[8]FY20 Initial Budget Allocat (2)'!AT60/'FY20 Initial Budget Allocat FTE'!AT$121</f>
        <v>0</v>
      </c>
      <c r="AU60" s="115">
        <f>'[8]FY20 Initial Budget Allocat (2)'!AU60/'FY20 Initial Budget Allocat FTE'!AU$121</f>
        <v>0</v>
      </c>
      <c r="AV60" s="115">
        <f>'[8]FY20 Initial Budget Allocat (2)'!AV60/'FY20 Initial Budget Allocat FTE'!AV$121</f>
        <v>0</v>
      </c>
      <c r="AW60" s="115">
        <f>'[8]FY20 Initial Budget Allocat (2)'!AW60/'FY20 Initial Budget Allocat FTE'!AW$121</f>
        <v>0</v>
      </c>
      <c r="AX60" s="115">
        <f>'[8]FY20 Initial Budget Allocat (2)'!AX60/'FY20 Initial Budget Allocat FTE'!AX$121</f>
        <v>1</v>
      </c>
      <c r="AY60" s="115">
        <f>'[8]FY20 Initial Budget Allocat (2)'!AY60/'FY20 Initial Budget Allocat FTE'!AY$121</f>
        <v>2</v>
      </c>
      <c r="AZ60" s="115">
        <f>'[8]FY20 Initial Budget Allocat (2)'!AZ60/'FY20 Initial Budget Allocat FTE'!AZ$121</f>
        <v>7</v>
      </c>
      <c r="BA60" s="115">
        <f>'[8]FY20 Initial Budget Allocat (2)'!BA60/'FY20 Initial Budget Allocat FTE'!BA$121</f>
        <v>1</v>
      </c>
      <c r="BB60" s="115">
        <f>'[8]FY20 Initial Budget Allocat (2)'!BB60/'FY20 Initial Budget Allocat FTE'!BB$121</f>
        <v>0</v>
      </c>
      <c r="BC60" s="115">
        <f>'[8]FY20 Initial Budget Allocat (2)'!BC60/'FY20 Initial Budget Allocat FTE'!BC$121</f>
        <v>0</v>
      </c>
      <c r="BD60" s="115">
        <f>'[8]FY20 Initial Budget Allocat (2)'!BD60/'FY20 Initial Budget Allocat FTE'!BD$121</f>
        <v>0.40909090909090906</v>
      </c>
      <c r="BE60" s="115">
        <f>'[8]FY20 Initial Budget Allocat (2)'!BE60/'FY20 Initial Budget Allocat FTE'!BE$121</f>
        <v>0</v>
      </c>
      <c r="BF60" s="115">
        <f>'[8]FY20 Initial Budget Allocat (2)'!BF60/'FY20 Initial Budget Allocat FTE'!BF$121</f>
        <v>0</v>
      </c>
      <c r="BG60" s="115">
        <f>'[8]FY20 Initial Budget Allocat (2)'!BG60/'FY20 Initial Budget Allocat FTE'!BG$121</f>
        <v>2.0628967591045773</v>
      </c>
      <c r="BH60" s="115">
        <f>'[8]FY20 Initial Budget Allocat (2)'!BH60/'FY20 Initial Budget Allocat FTE'!BH$121</f>
        <v>8</v>
      </c>
      <c r="BI60" s="115">
        <f>'[8]FY20 Initial Budget Allocat (2)'!BI60/'FY20 Initial Budget Allocat FTE'!BI$121</f>
        <v>1</v>
      </c>
      <c r="BJ60" s="79"/>
      <c r="BK60" s="79">
        <v>0</v>
      </c>
      <c r="BL60" s="79">
        <v>35539.5</v>
      </c>
      <c r="BM60" s="79">
        <v>265267.14</v>
      </c>
      <c r="BN60" s="79">
        <v>4221.09</v>
      </c>
      <c r="BO60" s="79">
        <v>0</v>
      </c>
      <c r="BP60" s="115">
        <f>'[8]FY20 Initial Budget Allocat (2)'!BP60/'FY20 Initial Budget Allocat FTE'!BP$121</f>
        <v>0</v>
      </c>
      <c r="BQ60" s="115">
        <f>'[8]FY20 Initial Budget Allocat (2)'!BQ60/'FY20 Initial Budget Allocat FTE'!BQ$121</f>
        <v>0</v>
      </c>
      <c r="BR60" s="115">
        <f>'[8]FY20 Initial Budget Allocat (2)'!BR60/'FY20 Initial Budget Allocat FTE'!BR$121</f>
        <v>0</v>
      </c>
      <c r="BS60" s="115">
        <f>'[8]FY20 Initial Budget Allocat (2)'!BS60/'FY20 Initial Budget Allocat FTE'!BS$121</f>
        <v>0</v>
      </c>
      <c r="BT60" s="115">
        <f>'[8]FY20 Initial Budget Allocat (2)'!BT60/'FY20 Initial Budget Allocat FTE'!BT$121</f>
        <v>0</v>
      </c>
      <c r="BU60" s="115">
        <f>'[8]FY20 Initial Budget Allocat (2)'!BU60/'FY20 Initial Budget Allocat FTE'!BU$121</f>
        <v>0</v>
      </c>
      <c r="BV60" s="115">
        <f>'[8]FY20 Initial Budget Allocat (2)'!BV60/'FY20 Initial Budget Allocat FTE'!BV$121</f>
        <v>0</v>
      </c>
      <c r="BW60" s="80">
        <v>0</v>
      </c>
      <c r="BX60" s="80">
        <v>0</v>
      </c>
      <c r="BY60" s="80">
        <v>0</v>
      </c>
      <c r="BZ60" s="80">
        <v>0</v>
      </c>
      <c r="CA60" s="115">
        <f>'[8]FY20 Initial Budget Allocat (2)'!CA60/'FY20 Initial Budget Allocat FTE'!CA$121</f>
        <v>0</v>
      </c>
      <c r="CB60" s="115">
        <f>'[8]FY20 Initial Budget Allocat (2)'!CB60/'FY20 Initial Budget Allocat FTE'!CB$121</f>
        <v>0</v>
      </c>
      <c r="CC60" s="80">
        <v>0</v>
      </c>
      <c r="CD60" s="115">
        <f>'[8]FY20 Initial Budget Allocat (2)'!CD60/'FY20 Initial Budget Allocat FTE'!CD$121</f>
        <v>0</v>
      </c>
      <c r="CE60" s="115">
        <f>'[8]FY20 Initial Budget Allocat (2)'!CE60/'FY20 Initial Budget Allocat FTE'!CE$121</f>
        <v>0</v>
      </c>
      <c r="CF60" s="115">
        <f>'[8]FY20 Initial Budget Allocat (2)'!CF60/'FY20 Initial Budget Allocat FTE'!CF$121</f>
        <v>0</v>
      </c>
      <c r="CG60" s="115">
        <f>'[8]FY20 Initial Budget Allocat (2)'!CG60/'FY20 Initial Budget Allocat FTE'!CG$121</f>
        <v>0</v>
      </c>
      <c r="CH60" s="115">
        <f>'[8]FY20 Initial Budget Allocat (2)'!CH60/'FY20 Initial Budget Allocat FTE'!CH$121</f>
        <v>0</v>
      </c>
      <c r="CI60" s="115">
        <f>'[8]FY20 Initial Budget Allocat (2)'!CI60/'FY20 Initial Budget Allocat FTE'!CI$121</f>
        <v>2</v>
      </c>
      <c r="CJ60" s="115">
        <f>'[8]FY20 Initial Budget Allocat (2)'!CJ60/'FY20 Initial Budget Allocat FTE'!CJ$121</f>
        <v>0</v>
      </c>
      <c r="CK60" s="79">
        <v>23000</v>
      </c>
      <c r="CL60" s="79">
        <v>5000</v>
      </c>
      <c r="CM60" s="79">
        <v>108165.6</v>
      </c>
      <c r="CN60" s="79">
        <v>100000</v>
      </c>
      <c r="CO60" s="115">
        <f>'[8]FY20 Initial Budget Allocat (2)'!CO60/'FY20 Initial Budget Allocat FTE'!CO$121</f>
        <v>0</v>
      </c>
      <c r="CP60" s="79">
        <v>0</v>
      </c>
      <c r="CQ60" s="79">
        <v>5200</v>
      </c>
      <c r="CR60" s="79">
        <v>180360</v>
      </c>
      <c r="CS60" s="79">
        <v>29217.362499999999</v>
      </c>
      <c r="CT60" s="115">
        <f>'[8]FY20 Initial Budget Allocat (2)'!CT60/'FY20 Initial Budget Allocat FTE'!CT$121</f>
        <v>0</v>
      </c>
      <c r="CU60" s="115">
        <f>'[8]FY20 Initial Budget Allocat (2)'!CU60/'FY20 Initial Budget Allocat FTE'!CU$121</f>
        <v>0</v>
      </c>
      <c r="CV60" s="79"/>
      <c r="CW60" s="79">
        <v>0</v>
      </c>
      <c r="CX60" s="115">
        <f>'[8]FY20 Initial Budget Allocat (2)'!CX60/'FY20 Initial Budget Allocat FTE'!CX$121</f>
        <v>0</v>
      </c>
      <c r="CY60" s="79">
        <v>0</v>
      </c>
      <c r="CZ60" s="79">
        <v>0</v>
      </c>
      <c r="DA60" s="79">
        <v>51900</v>
      </c>
      <c r="DB60" s="79">
        <v>105976.19803004629</v>
      </c>
      <c r="DC60" s="82">
        <v>0</v>
      </c>
      <c r="DD60" s="79">
        <v>0</v>
      </c>
      <c r="DE60" s="79"/>
      <c r="DF60" s="79">
        <v>31800</v>
      </c>
      <c r="DG60" s="79">
        <v>0</v>
      </c>
      <c r="DH60" s="83">
        <v>0</v>
      </c>
      <c r="DI60" s="79">
        <v>14087.934371830688</v>
      </c>
      <c r="DJ60" s="79">
        <v>7311637.9389801268</v>
      </c>
      <c r="DK60" s="84">
        <v>75000.061019873247</v>
      </c>
      <c r="DL60" s="84">
        <v>0</v>
      </c>
      <c r="DM60" s="84">
        <f t="shared" si="0"/>
        <v>7386638</v>
      </c>
      <c r="DN60" s="116">
        <f t="shared" si="1"/>
        <v>9.0000000000000018</v>
      </c>
      <c r="DO60" s="116">
        <f t="shared" si="2"/>
        <v>9</v>
      </c>
      <c r="DP60" s="116">
        <f t="shared" si="3"/>
        <v>18</v>
      </c>
      <c r="DQ60" s="116">
        <f t="shared" si="4"/>
        <v>10.409090909090908</v>
      </c>
      <c r="DR60" s="116">
        <f t="shared" si="5"/>
        <v>1</v>
      </c>
    </row>
    <row r="61" spans="1:122" x14ac:dyDescent="0.25">
      <c r="A61" s="76">
        <v>271</v>
      </c>
      <c r="B61" s="76" t="s">
        <v>200</v>
      </c>
      <c r="C61" s="77" t="s">
        <v>135</v>
      </c>
      <c r="D61" s="41">
        <v>6</v>
      </c>
      <c r="E61" s="78">
        <v>452</v>
      </c>
      <c r="F61" s="78">
        <v>137.75510204081633</v>
      </c>
      <c r="G61" s="115">
        <f>'[8]FY20 Initial Budget Allocat (2)'!G61/'FY20 Initial Budget Allocat FTE'!G$121</f>
        <v>1</v>
      </c>
      <c r="H61" s="115">
        <f>'[8]FY20 Initial Budget Allocat (2)'!H61/'FY20 Initial Budget Allocat FTE'!H$121</f>
        <v>1</v>
      </c>
      <c r="I61" s="115">
        <f>'[8]FY20 Initial Budget Allocat (2)'!I61/'FY20 Initial Budget Allocat FTE'!I$121</f>
        <v>1.1000000000000001</v>
      </c>
      <c r="J61" s="115">
        <f>'[8]FY20 Initial Budget Allocat (2)'!J61/'FY20 Initial Budget Allocat FTE'!J$121</f>
        <v>0</v>
      </c>
      <c r="K61" s="115">
        <f>'[8]FY20 Initial Budget Allocat (2)'!K61/'FY20 Initial Budget Allocat FTE'!K$121</f>
        <v>0</v>
      </c>
      <c r="L61" s="115">
        <f>'[8]FY20 Initial Budget Allocat (2)'!L61/'FY20 Initial Budget Allocat FTE'!L$121</f>
        <v>1</v>
      </c>
      <c r="M61" s="115">
        <f>'[8]FY20 Initial Budget Allocat (2)'!M61/'FY20 Initial Budget Allocat FTE'!M$121</f>
        <v>1</v>
      </c>
      <c r="N61" s="115">
        <f>'[8]FY20 Initial Budget Allocat (2)'!N61/'FY20 Initial Budget Allocat FTE'!N$121</f>
        <v>1.1000000000000001</v>
      </c>
      <c r="O61" s="115">
        <f>'[8]FY20 Initial Budget Allocat (2)'!O61/'FY20 Initial Budget Allocat FTE'!O$121</f>
        <v>0</v>
      </c>
      <c r="P61" s="115">
        <f>'[8]FY20 Initial Budget Allocat (2)'!P61/'FY20 Initial Budget Allocat FTE'!P$121</f>
        <v>0</v>
      </c>
      <c r="Q61" s="115">
        <f>'[8]FY20 Initial Budget Allocat (2)'!Q61/'FY20 Initial Budget Allocat FTE'!Q$121</f>
        <v>0</v>
      </c>
      <c r="R61" s="115">
        <f>'[8]FY20 Initial Budget Allocat (2)'!R61/'FY20 Initial Budget Allocat FTE'!R$121</f>
        <v>1</v>
      </c>
      <c r="S61" s="115">
        <f>'[8]FY20 Initial Budget Allocat (2)'!S61/'FY20 Initial Budget Allocat FTE'!S$121</f>
        <v>1</v>
      </c>
      <c r="T61" s="115">
        <f>'[8]FY20 Initial Budget Allocat (2)'!T61/'FY20 Initial Budget Allocat FTE'!T$121</f>
        <v>2</v>
      </c>
      <c r="U61" s="115">
        <f>'[8]FY20 Initial Budget Allocat (2)'!U61/'FY20 Initial Budget Allocat FTE'!U$121</f>
        <v>1</v>
      </c>
      <c r="V61" s="115">
        <f>'[8]FY20 Initial Budget Allocat (2)'!V61/'FY20 Initial Budget Allocat FTE'!V$121</f>
        <v>1</v>
      </c>
      <c r="W61" s="115">
        <f>'[8]FY20 Initial Budget Allocat (2)'!W61/'FY20 Initial Budget Allocat FTE'!W$121</f>
        <v>1</v>
      </c>
      <c r="X61" s="115">
        <f>'[8]FY20 Initial Budget Allocat (2)'!X61/'FY20 Initial Budget Allocat FTE'!X$121</f>
        <v>1</v>
      </c>
      <c r="Y61" s="115">
        <f>'[8]FY20 Initial Budget Allocat (2)'!Y61/'FY20 Initial Budget Allocat FTE'!Y$121</f>
        <v>1.5000000000000002</v>
      </c>
      <c r="Z61" s="115">
        <f>'[8]FY20 Initial Budget Allocat (2)'!Z61/'FY20 Initial Budget Allocat FTE'!Z$121</f>
        <v>0</v>
      </c>
      <c r="AA61" s="115">
        <f>'[8]FY20 Initial Budget Allocat (2)'!AA61/'FY20 Initial Budget Allocat FTE'!AA$121</f>
        <v>3.0000000000000004</v>
      </c>
      <c r="AB61" s="115">
        <f>'[8]FY20 Initial Budget Allocat (2)'!AB61/'FY20 Initial Budget Allocat FTE'!AB$121</f>
        <v>3</v>
      </c>
      <c r="AC61" s="115">
        <f>'[8]FY20 Initial Budget Allocat (2)'!AC61/'FY20 Initial Budget Allocat FTE'!AC$121</f>
        <v>0</v>
      </c>
      <c r="AD61" s="115">
        <f>'[8]FY20 Initial Budget Allocat (2)'!AD61/'FY20 Initial Budget Allocat FTE'!AD$121</f>
        <v>0</v>
      </c>
      <c r="AE61" s="115">
        <f>'[8]FY20 Initial Budget Allocat (2)'!AE61/'FY20 Initial Budget Allocat FTE'!AE$121</f>
        <v>3.0000000000000004</v>
      </c>
      <c r="AF61" s="115">
        <f>'[8]FY20 Initial Budget Allocat (2)'!AF61/'FY20 Initial Budget Allocat FTE'!AF$121</f>
        <v>3</v>
      </c>
      <c r="AG61" s="115">
        <f>'[8]FY20 Initial Budget Allocat (2)'!AG61/'FY20 Initial Budget Allocat FTE'!AG$121</f>
        <v>3.0000000000000004</v>
      </c>
      <c r="AH61" s="115">
        <f>'[8]FY20 Initial Budget Allocat (2)'!AH61/'FY20 Initial Budget Allocat FTE'!AH$121</f>
        <v>3</v>
      </c>
      <c r="AI61" s="115">
        <f>'[8]FY20 Initial Budget Allocat (2)'!AI61/'FY20 Initial Budget Allocat FTE'!AI$121</f>
        <v>3.0000000000000004</v>
      </c>
      <c r="AJ61" s="115">
        <f>'[8]FY20 Initial Budget Allocat (2)'!AJ61/'FY20 Initial Budget Allocat FTE'!AJ$121</f>
        <v>3.0000000000000004</v>
      </c>
      <c r="AK61" s="115">
        <f>'[8]FY20 Initial Budget Allocat (2)'!AK61/'FY20 Initial Budget Allocat FTE'!AK$121</f>
        <v>3.0000000000000004</v>
      </c>
      <c r="AL61" s="115">
        <f>'[8]FY20 Initial Budget Allocat (2)'!AL61/'FY20 Initial Budget Allocat FTE'!AL$121</f>
        <v>2</v>
      </c>
      <c r="AM61" s="115">
        <f>'[8]FY20 Initial Budget Allocat (2)'!AM61/'FY20 Initial Budget Allocat FTE'!AM$121</f>
        <v>3.0000000000000004</v>
      </c>
      <c r="AN61" s="115">
        <f>'[8]FY20 Initial Budget Allocat (2)'!AN61/'FY20 Initial Budget Allocat FTE'!AN$121</f>
        <v>0</v>
      </c>
      <c r="AO61" s="115">
        <f>'[8]FY20 Initial Budget Allocat (2)'!AO61/'FY20 Initial Budget Allocat FTE'!AO$121</f>
        <v>0</v>
      </c>
      <c r="AP61" s="115">
        <f>'[8]FY20 Initial Budget Allocat (2)'!AP61/'FY20 Initial Budget Allocat FTE'!AP$121</f>
        <v>0</v>
      </c>
      <c r="AQ61" s="115">
        <f>'[8]FY20 Initial Budget Allocat (2)'!AQ61/'FY20 Initial Budget Allocat FTE'!AQ$121</f>
        <v>0</v>
      </c>
      <c r="AR61" s="115">
        <f>'[8]FY20 Initial Budget Allocat (2)'!AR61/'FY20 Initial Budget Allocat FTE'!AR$121</f>
        <v>0</v>
      </c>
      <c r="AS61" s="115">
        <f>'[8]FY20 Initial Budget Allocat (2)'!AS61/'FY20 Initial Budget Allocat FTE'!AS$121</f>
        <v>0</v>
      </c>
      <c r="AT61" s="115">
        <f>'[8]FY20 Initial Budget Allocat (2)'!AT61/'FY20 Initial Budget Allocat FTE'!AT$121</f>
        <v>0</v>
      </c>
      <c r="AU61" s="115">
        <f>'[8]FY20 Initial Budget Allocat (2)'!AU61/'FY20 Initial Budget Allocat FTE'!AU$121</f>
        <v>0</v>
      </c>
      <c r="AV61" s="115">
        <f>'[8]FY20 Initial Budget Allocat (2)'!AV61/'FY20 Initial Budget Allocat FTE'!AV$121</f>
        <v>0</v>
      </c>
      <c r="AW61" s="115">
        <f>'[8]FY20 Initial Budget Allocat (2)'!AW61/'FY20 Initial Budget Allocat FTE'!AW$121</f>
        <v>0</v>
      </c>
      <c r="AX61" s="115">
        <f>'[8]FY20 Initial Budget Allocat (2)'!AX61/'FY20 Initial Budget Allocat FTE'!AX$121</f>
        <v>1</v>
      </c>
      <c r="AY61" s="115">
        <f>'[8]FY20 Initial Budget Allocat (2)'!AY61/'FY20 Initial Budget Allocat FTE'!AY$121</f>
        <v>2</v>
      </c>
      <c r="AZ61" s="115">
        <f>'[8]FY20 Initial Budget Allocat (2)'!AZ61/'FY20 Initial Budget Allocat FTE'!AZ$121</f>
        <v>9</v>
      </c>
      <c r="BA61" s="115">
        <f>'[8]FY20 Initial Budget Allocat (2)'!BA61/'FY20 Initial Budget Allocat FTE'!BA$121</f>
        <v>8</v>
      </c>
      <c r="BB61" s="115">
        <f>'[8]FY20 Initial Budget Allocat (2)'!BB61/'FY20 Initial Budget Allocat FTE'!BB$121</f>
        <v>0</v>
      </c>
      <c r="BC61" s="115">
        <f>'[8]FY20 Initial Budget Allocat (2)'!BC61/'FY20 Initial Budget Allocat FTE'!BC$121</f>
        <v>0</v>
      </c>
      <c r="BD61" s="115">
        <f>'[8]FY20 Initial Budget Allocat (2)'!BD61/'FY20 Initial Budget Allocat FTE'!BD$121</f>
        <v>1</v>
      </c>
      <c r="BE61" s="115">
        <f>'[8]FY20 Initial Budget Allocat (2)'!BE61/'FY20 Initial Budget Allocat FTE'!BE$121</f>
        <v>0</v>
      </c>
      <c r="BF61" s="115">
        <f>'[8]FY20 Initial Budget Allocat (2)'!BF61/'FY20 Initial Budget Allocat FTE'!BF$121</f>
        <v>0</v>
      </c>
      <c r="BG61" s="115">
        <f>'[8]FY20 Initial Budget Allocat (2)'!BG61/'FY20 Initial Budget Allocat FTE'!BG$121</f>
        <v>7.2505178750417638</v>
      </c>
      <c r="BH61" s="115">
        <f>'[8]FY20 Initial Budget Allocat (2)'!BH61/'FY20 Initial Budget Allocat FTE'!BH$121</f>
        <v>15</v>
      </c>
      <c r="BI61" s="115">
        <f>'[8]FY20 Initial Budget Allocat (2)'!BI61/'FY20 Initial Budget Allocat FTE'!BI$121</f>
        <v>0</v>
      </c>
      <c r="BJ61" s="79"/>
      <c r="BK61" s="79">
        <v>0</v>
      </c>
      <c r="BL61" s="79">
        <v>46388.4</v>
      </c>
      <c r="BM61" s="79">
        <v>83928.14</v>
      </c>
      <c r="BN61" s="79">
        <v>1335.51</v>
      </c>
      <c r="BO61" s="79">
        <v>0</v>
      </c>
      <c r="BP61" s="115">
        <f>'[8]FY20 Initial Budget Allocat (2)'!BP61/'FY20 Initial Budget Allocat FTE'!BP$121</f>
        <v>0</v>
      </c>
      <c r="BQ61" s="115">
        <f>'[8]FY20 Initial Budget Allocat (2)'!BQ61/'FY20 Initial Budget Allocat FTE'!BQ$121</f>
        <v>0</v>
      </c>
      <c r="BR61" s="115">
        <f>'[8]FY20 Initial Budget Allocat (2)'!BR61/'FY20 Initial Budget Allocat FTE'!BR$121</f>
        <v>0</v>
      </c>
      <c r="BS61" s="115">
        <f>'[8]FY20 Initial Budget Allocat (2)'!BS61/'FY20 Initial Budget Allocat FTE'!BS$121</f>
        <v>0</v>
      </c>
      <c r="BT61" s="115">
        <f>'[8]FY20 Initial Budget Allocat (2)'!BT61/'FY20 Initial Budget Allocat FTE'!BT$121</f>
        <v>0</v>
      </c>
      <c r="BU61" s="115">
        <f>'[8]FY20 Initial Budget Allocat (2)'!BU61/'FY20 Initial Budget Allocat FTE'!BU$121</f>
        <v>0</v>
      </c>
      <c r="BV61" s="115">
        <f>'[8]FY20 Initial Budget Allocat (2)'!BV61/'FY20 Initial Budget Allocat FTE'!BV$121</f>
        <v>0</v>
      </c>
      <c r="BW61" s="80">
        <v>0</v>
      </c>
      <c r="BX61" s="80">
        <v>0</v>
      </c>
      <c r="BY61" s="80">
        <v>0</v>
      </c>
      <c r="BZ61" s="80">
        <v>0</v>
      </c>
      <c r="CA61" s="115">
        <f>'[8]FY20 Initial Budget Allocat (2)'!CA61/'FY20 Initial Budget Allocat FTE'!CA$121</f>
        <v>0</v>
      </c>
      <c r="CB61" s="115">
        <f>'[8]FY20 Initial Budget Allocat (2)'!CB61/'FY20 Initial Budget Allocat FTE'!CB$121</f>
        <v>0</v>
      </c>
      <c r="CC61" s="80">
        <v>0</v>
      </c>
      <c r="CD61" s="115">
        <f>'[8]FY20 Initial Budget Allocat (2)'!CD61/'FY20 Initial Budget Allocat FTE'!CD$121</f>
        <v>0</v>
      </c>
      <c r="CE61" s="115">
        <f>'[8]FY20 Initial Budget Allocat (2)'!CE61/'FY20 Initial Budget Allocat FTE'!CE$121</f>
        <v>0</v>
      </c>
      <c r="CF61" s="115">
        <f>'[8]FY20 Initial Budget Allocat (2)'!CF61/'FY20 Initial Budget Allocat FTE'!CF$121</f>
        <v>0</v>
      </c>
      <c r="CG61" s="115">
        <f>'[8]FY20 Initial Budget Allocat (2)'!CG61/'FY20 Initial Budget Allocat FTE'!CG$121</f>
        <v>0</v>
      </c>
      <c r="CH61" s="115">
        <f>'[8]FY20 Initial Budget Allocat (2)'!CH61/'FY20 Initial Budget Allocat FTE'!CH$121</f>
        <v>0</v>
      </c>
      <c r="CI61" s="115">
        <f>'[8]FY20 Initial Budget Allocat (2)'!CI61/'FY20 Initial Budget Allocat FTE'!CI$121</f>
        <v>0</v>
      </c>
      <c r="CJ61" s="115">
        <f>'[8]FY20 Initial Budget Allocat (2)'!CJ61/'FY20 Initial Budget Allocat FTE'!CJ$121</f>
        <v>0</v>
      </c>
      <c r="CK61" s="79">
        <v>0</v>
      </c>
      <c r="CL61" s="79">
        <v>0</v>
      </c>
      <c r="CM61" s="79">
        <v>54082.8</v>
      </c>
      <c r="CN61" s="79">
        <v>0</v>
      </c>
      <c r="CO61" s="115">
        <f>'[8]FY20 Initial Budget Allocat (2)'!CO61/'FY20 Initial Budget Allocat FTE'!CO$121</f>
        <v>0</v>
      </c>
      <c r="CP61" s="79">
        <v>0</v>
      </c>
      <c r="CQ61" s="79">
        <v>2755.1020408163267</v>
      </c>
      <c r="CR61" s="79">
        <v>0</v>
      </c>
      <c r="CS61" s="79">
        <v>25390.629834254141</v>
      </c>
      <c r="CT61" s="115">
        <f>'[8]FY20 Initial Budget Allocat (2)'!CT61/'FY20 Initial Budget Allocat FTE'!CT$121</f>
        <v>0</v>
      </c>
      <c r="CU61" s="115">
        <f>'[8]FY20 Initial Budget Allocat (2)'!CU61/'FY20 Initial Budget Allocat FTE'!CU$121</f>
        <v>0</v>
      </c>
      <c r="CV61" s="79"/>
      <c r="CW61" s="79">
        <v>0</v>
      </c>
      <c r="CX61" s="115">
        <f>'[8]FY20 Initial Budget Allocat (2)'!CX61/'FY20 Initial Budget Allocat FTE'!CX$121</f>
        <v>0</v>
      </c>
      <c r="CY61" s="79">
        <v>0</v>
      </c>
      <c r="CZ61" s="79">
        <v>0</v>
      </c>
      <c r="DA61" s="79">
        <v>45200</v>
      </c>
      <c r="DB61" s="79">
        <v>95983.882009582958</v>
      </c>
      <c r="DC61" s="82">
        <v>0</v>
      </c>
      <c r="DD61" s="79">
        <v>0</v>
      </c>
      <c r="DE61" s="79"/>
      <c r="DF61" s="79">
        <v>2100</v>
      </c>
      <c r="DG61" s="79">
        <v>0</v>
      </c>
      <c r="DH61" s="83">
        <v>0</v>
      </c>
      <c r="DI61" s="79">
        <v>14262.119171951557</v>
      </c>
      <c r="DJ61" s="79">
        <v>6446477.8657221021</v>
      </c>
      <c r="DK61" s="84">
        <v>-54556.865722102113</v>
      </c>
      <c r="DL61" s="84">
        <v>0</v>
      </c>
      <c r="DM61" s="84">
        <f t="shared" si="0"/>
        <v>6391921</v>
      </c>
      <c r="DN61" s="116">
        <f t="shared" si="1"/>
        <v>9.0000000000000018</v>
      </c>
      <c r="DO61" s="116">
        <f t="shared" si="2"/>
        <v>9</v>
      </c>
      <c r="DP61" s="116">
        <f t="shared" si="3"/>
        <v>14.000000000000002</v>
      </c>
      <c r="DQ61" s="116">
        <f t="shared" si="4"/>
        <v>13</v>
      </c>
      <c r="DR61" s="116">
        <f t="shared" si="5"/>
        <v>8</v>
      </c>
    </row>
    <row r="62" spans="1:122" x14ac:dyDescent="0.25">
      <c r="A62" s="76">
        <v>884</v>
      </c>
      <c r="B62" s="76" t="s">
        <v>201</v>
      </c>
      <c r="C62" s="77" t="s">
        <v>138</v>
      </c>
      <c r="D62" s="41">
        <v>5</v>
      </c>
      <c r="E62" s="78">
        <v>269</v>
      </c>
      <c r="F62" s="78">
        <v>0</v>
      </c>
      <c r="G62" s="115">
        <f>'[8]FY20 Initial Budget Allocat (2)'!G62/'FY20 Initial Budget Allocat FTE'!G$121</f>
        <v>1</v>
      </c>
      <c r="H62" s="115">
        <f>'[8]FY20 Initial Budget Allocat (2)'!H62/'FY20 Initial Budget Allocat FTE'!H$121</f>
        <v>1</v>
      </c>
      <c r="I62" s="115">
        <f>'[8]FY20 Initial Budget Allocat (2)'!I62/'FY20 Initial Budget Allocat FTE'!I$121</f>
        <v>0.9</v>
      </c>
      <c r="J62" s="115">
        <f>'[8]FY20 Initial Budget Allocat (2)'!J62/'FY20 Initial Budget Allocat FTE'!J$121</f>
        <v>0</v>
      </c>
      <c r="K62" s="115">
        <f>'[8]FY20 Initial Budget Allocat (2)'!K62/'FY20 Initial Budget Allocat FTE'!K$121</f>
        <v>1.0759963130223831</v>
      </c>
      <c r="L62" s="115">
        <f>'[8]FY20 Initial Budget Allocat (2)'!L62/'FY20 Initial Budget Allocat FTE'!L$121</f>
        <v>0.5</v>
      </c>
      <c r="M62" s="115">
        <f>'[8]FY20 Initial Budget Allocat (2)'!M62/'FY20 Initial Budget Allocat FTE'!M$121</f>
        <v>1</v>
      </c>
      <c r="N62" s="115">
        <f>'[8]FY20 Initial Budget Allocat (2)'!N62/'FY20 Initial Budget Allocat FTE'!N$121</f>
        <v>0</v>
      </c>
      <c r="O62" s="115">
        <f>'[8]FY20 Initial Budget Allocat (2)'!O62/'FY20 Initial Budget Allocat FTE'!O$121</f>
        <v>1</v>
      </c>
      <c r="P62" s="115">
        <f>'[8]FY20 Initial Budget Allocat (2)'!P62/'FY20 Initial Budget Allocat FTE'!P$121</f>
        <v>1</v>
      </c>
      <c r="Q62" s="115">
        <f>'[8]FY20 Initial Budget Allocat (2)'!Q62/'FY20 Initial Budget Allocat FTE'!Q$121</f>
        <v>0</v>
      </c>
      <c r="R62" s="115">
        <f>'[8]FY20 Initial Budget Allocat (2)'!R62/'FY20 Initial Budget Allocat FTE'!R$121</f>
        <v>1</v>
      </c>
      <c r="S62" s="115">
        <f>'[8]FY20 Initial Budget Allocat (2)'!S62/'FY20 Initial Budget Allocat FTE'!S$121</f>
        <v>1</v>
      </c>
      <c r="T62" s="115">
        <f>'[8]FY20 Initial Budget Allocat (2)'!T62/'FY20 Initial Budget Allocat FTE'!T$121</f>
        <v>1</v>
      </c>
      <c r="U62" s="115">
        <f>'[8]FY20 Initial Budget Allocat (2)'!U62/'FY20 Initial Budget Allocat FTE'!U$121</f>
        <v>0.5</v>
      </c>
      <c r="V62" s="115">
        <f>'[8]FY20 Initial Budget Allocat (2)'!V62/'FY20 Initial Budget Allocat FTE'!V$121</f>
        <v>0</v>
      </c>
      <c r="W62" s="115">
        <f>'[8]FY20 Initial Budget Allocat (2)'!W62/'FY20 Initial Budget Allocat FTE'!W$121</f>
        <v>0</v>
      </c>
      <c r="X62" s="115">
        <f>'[8]FY20 Initial Budget Allocat (2)'!X62/'FY20 Initial Budget Allocat FTE'!X$121</f>
        <v>0</v>
      </c>
      <c r="Y62" s="115">
        <f>'[8]FY20 Initial Budget Allocat (2)'!Y62/'FY20 Initial Budget Allocat FTE'!Y$121</f>
        <v>0</v>
      </c>
      <c r="Z62" s="115">
        <f>'[8]FY20 Initial Budget Allocat (2)'!Z62/'FY20 Initial Budget Allocat FTE'!Z$121</f>
        <v>0</v>
      </c>
      <c r="AA62" s="115">
        <f>'[8]FY20 Initial Budget Allocat (2)'!AA62/'FY20 Initial Budget Allocat FTE'!AA$121</f>
        <v>0</v>
      </c>
      <c r="AB62" s="115">
        <f>'[8]FY20 Initial Budget Allocat (2)'!AB62/'FY20 Initial Budget Allocat FTE'!AB$121</f>
        <v>0</v>
      </c>
      <c r="AC62" s="115">
        <f>'[8]FY20 Initial Budget Allocat (2)'!AC62/'FY20 Initial Budget Allocat FTE'!AC$121</f>
        <v>0</v>
      </c>
      <c r="AD62" s="115">
        <f>'[8]FY20 Initial Budget Allocat (2)'!AD62/'FY20 Initial Budget Allocat FTE'!AD$121</f>
        <v>0</v>
      </c>
      <c r="AE62" s="115">
        <f>'[8]FY20 Initial Budget Allocat (2)'!AE62/'FY20 Initial Budget Allocat FTE'!AE$121</f>
        <v>0</v>
      </c>
      <c r="AF62" s="115">
        <f>'[8]FY20 Initial Budget Allocat (2)'!AF62/'FY20 Initial Budget Allocat FTE'!AF$121</f>
        <v>0</v>
      </c>
      <c r="AG62" s="115">
        <f>'[8]FY20 Initial Budget Allocat (2)'!AG62/'FY20 Initial Budget Allocat FTE'!AG$121</f>
        <v>0</v>
      </c>
      <c r="AH62" s="115">
        <f>'[8]FY20 Initial Budget Allocat (2)'!AH62/'FY20 Initial Budget Allocat FTE'!AH$121</f>
        <v>0</v>
      </c>
      <c r="AI62" s="115">
        <f>'[8]FY20 Initial Budget Allocat (2)'!AI62/'FY20 Initial Budget Allocat FTE'!AI$121</f>
        <v>0</v>
      </c>
      <c r="AJ62" s="115">
        <f>'[8]FY20 Initial Budget Allocat (2)'!AJ62/'FY20 Initial Budget Allocat FTE'!AJ$121</f>
        <v>0</v>
      </c>
      <c r="AK62" s="115">
        <f>'[8]FY20 Initial Budget Allocat (2)'!AK62/'FY20 Initial Budget Allocat FTE'!AK$121</f>
        <v>0</v>
      </c>
      <c r="AL62" s="115">
        <f>'[8]FY20 Initial Budget Allocat (2)'!AL62/'FY20 Initial Budget Allocat FTE'!AL$121</f>
        <v>0</v>
      </c>
      <c r="AM62" s="115">
        <f>'[8]FY20 Initial Budget Allocat (2)'!AM62/'FY20 Initial Budget Allocat FTE'!AM$121</f>
        <v>0</v>
      </c>
      <c r="AN62" s="115">
        <f>'[8]FY20 Initial Budget Allocat (2)'!AN62/'FY20 Initial Budget Allocat FTE'!AN$121</f>
        <v>0</v>
      </c>
      <c r="AO62" s="115">
        <f>'[8]FY20 Initial Budget Allocat (2)'!AO62/'FY20 Initial Budget Allocat FTE'!AO$121</f>
        <v>0</v>
      </c>
      <c r="AP62" s="115">
        <f>'[8]FY20 Initial Budget Allocat (2)'!AP62/'FY20 Initial Budget Allocat FTE'!AP$121</f>
        <v>0</v>
      </c>
      <c r="AQ62" s="115">
        <f>'[8]FY20 Initial Budget Allocat (2)'!AQ62/'FY20 Initial Budget Allocat FTE'!AQ$121</f>
        <v>2.2999999999999998</v>
      </c>
      <c r="AR62" s="115">
        <f>'[8]FY20 Initial Budget Allocat (2)'!AR62/'FY20 Initial Budget Allocat FTE'!AR$121</f>
        <v>2.5</v>
      </c>
      <c r="AS62" s="115">
        <f>'[8]FY20 Initial Budget Allocat (2)'!AS62/'FY20 Initial Budget Allocat FTE'!AS$121</f>
        <v>3.6</v>
      </c>
      <c r="AT62" s="115">
        <f>'[8]FY20 Initial Budget Allocat (2)'!AT62/'FY20 Initial Budget Allocat FTE'!AT$121</f>
        <v>2.7999999999999994</v>
      </c>
      <c r="AU62" s="115">
        <f>'[8]FY20 Initial Budget Allocat (2)'!AU62/'FY20 Initial Budget Allocat FTE'!AU$121</f>
        <v>0</v>
      </c>
      <c r="AV62" s="115">
        <f>'[8]FY20 Initial Budget Allocat (2)'!AV62/'FY20 Initial Budget Allocat FTE'!AV$121</f>
        <v>0</v>
      </c>
      <c r="AW62" s="115">
        <f>'[8]FY20 Initial Budget Allocat (2)'!AW62/'FY20 Initial Budget Allocat FTE'!AW$121</f>
        <v>0</v>
      </c>
      <c r="AX62" s="115">
        <f>'[8]FY20 Initial Budget Allocat (2)'!AX62/'FY20 Initial Budget Allocat FTE'!AX$121</f>
        <v>1</v>
      </c>
      <c r="AY62" s="115">
        <f>'[8]FY20 Initial Budget Allocat (2)'!AY62/'FY20 Initial Budget Allocat FTE'!AY$121</f>
        <v>2</v>
      </c>
      <c r="AZ62" s="115">
        <f>'[8]FY20 Initial Budget Allocat (2)'!AZ62/'FY20 Initial Budget Allocat FTE'!AZ$121</f>
        <v>6.0000000000000009</v>
      </c>
      <c r="BA62" s="115">
        <f>'[8]FY20 Initial Budget Allocat (2)'!BA62/'FY20 Initial Budget Allocat FTE'!BA$121</f>
        <v>0</v>
      </c>
      <c r="BB62" s="115">
        <f>'[8]FY20 Initial Budget Allocat (2)'!BB62/'FY20 Initial Budget Allocat FTE'!BB$121</f>
        <v>0</v>
      </c>
      <c r="BC62" s="115">
        <f>'[8]FY20 Initial Budget Allocat (2)'!BC62/'FY20 Initial Budget Allocat FTE'!BC$121</f>
        <v>0</v>
      </c>
      <c r="BD62" s="115">
        <f>'[8]FY20 Initial Budget Allocat (2)'!BD62/'FY20 Initial Budget Allocat FTE'!BD$121</f>
        <v>1</v>
      </c>
      <c r="BE62" s="115">
        <f>'[8]FY20 Initial Budget Allocat (2)'!BE62/'FY20 Initial Budget Allocat FTE'!BE$121</f>
        <v>0</v>
      </c>
      <c r="BF62" s="115">
        <f>'[8]FY20 Initial Budget Allocat (2)'!BF62/'FY20 Initial Budget Allocat FTE'!BF$121</f>
        <v>0</v>
      </c>
      <c r="BG62" s="115">
        <f>'[8]FY20 Initial Budget Allocat (2)'!BG62/'FY20 Initial Budget Allocat FTE'!BG$121</f>
        <v>0</v>
      </c>
      <c r="BH62" s="115">
        <f>'[8]FY20 Initial Budget Allocat (2)'!BH62/'FY20 Initial Budget Allocat FTE'!BH$121</f>
        <v>0</v>
      </c>
      <c r="BI62" s="115">
        <f>'[8]FY20 Initial Budget Allocat (2)'!BI62/'FY20 Initial Budget Allocat FTE'!BI$121</f>
        <v>0</v>
      </c>
      <c r="BJ62" s="79">
        <v>70000</v>
      </c>
      <c r="BK62" s="79">
        <v>0</v>
      </c>
      <c r="BL62" s="79"/>
      <c r="BM62" s="79">
        <v>83008.179999999993</v>
      </c>
      <c r="BN62" s="79">
        <v>1320.87</v>
      </c>
      <c r="BO62" s="79">
        <v>0</v>
      </c>
      <c r="BP62" s="115">
        <f>'[8]FY20 Initial Budget Allocat (2)'!BP62/'FY20 Initial Budget Allocat FTE'!BP$121</f>
        <v>0</v>
      </c>
      <c r="BQ62" s="115">
        <f>'[8]FY20 Initial Budget Allocat (2)'!BQ62/'FY20 Initial Budget Allocat FTE'!BQ$121</f>
        <v>0</v>
      </c>
      <c r="BR62" s="115">
        <f>'[8]FY20 Initial Budget Allocat (2)'!BR62/'FY20 Initial Budget Allocat FTE'!BR$121</f>
        <v>0</v>
      </c>
      <c r="BS62" s="115">
        <f>'[8]FY20 Initial Budget Allocat (2)'!BS62/'FY20 Initial Budget Allocat FTE'!BS$121</f>
        <v>0</v>
      </c>
      <c r="BT62" s="115">
        <f>'[8]FY20 Initial Budget Allocat (2)'!BT62/'FY20 Initial Budget Allocat FTE'!BT$121</f>
        <v>0</v>
      </c>
      <c r="BU62" s="115">
        <f>'[8]FY20 Initial Budget Allocat (2)'!BU62/'FY20 Initial Budget Allocat FTE'!BU$121</f>
        <v>0</v>
      </c>
      <c r="BV62" s="115">
        <f>'[8]FY20 Initial Budget Allocat (2)'!BV62/'FY20 Initial Budget Allocat FTE'!BV$121</f>
        <v>0</v>
      </c>
      <c r="BW62" s="80">
        <v>0</v>
      </c>
      <c r="BX62" s="80">
        <v>0</v>
      </c>
      <c r="BY62" s="80">
        <v>0</v>
      </c>
      <c r="BZ62" s="80">
        <v>0</v>
      </c>
      <c r="CA62" s="115">
        <f>'[8]FY20 Initial Budget Allocat (2)'!CA62/'FY20 Initial Budget Allocat FTE'!CA$121</f>
        <v>0</v>
      </c>
      <c r="CB62" s="115">
        <f>'[8]FY20 Initial Budget Allocat (2)'!CB62/'FY20 Initial Budget Allocat FTE'!CB$121</f>
        <v>0</v>
      </c>
      <c r="CC62" s="80">
        <v>0</v>
      </c>
      <c r="CD62" s="115">
        <f>'[8]FY20 Initial Budget Allocat (2)'!CD62/'FY20 Initial Budget Allocat FTE'!CD$121</f>
        <v>0</v>
      </c>
      <c r="CE62" s="115">
        <f>'[8]FY20 Initial Budget Allocat (2)'!CE62/'FY20 Initial Budget Allocat FTE'!CE$121</f>
        <v>0</v>
      </c>
      <c r="CF62" s="115">
        <f>'[8]FY20 Initial Budget Allocat (2)'!CF62/'FY20 Initial Budget Allocat FTE'!CF$121</f>
        <v>0</v>
      </c>
      <c r="CG62" s="115">
        <f>'[8]FY20 Initial Budget Allocat (2)'!CG62/'FY20 Initial Budget Allocat FTE'!CG$121</f>
        <v>0</v>
      </c>
      <c r="CH62" s="115">
        <f>'[8]FY20 Initial Budget Allocat (2)'!CH62/'FY20 Initial Budget Allocat FTE'!CH$121</f>
        <v>0</v>
      </c>
      <c r="CI62" s="115">
        <f>'[8]FY20 Initial Budget Allocat (2)'!CI62/'FY20 Initial Budget Allocat FTE'!CI$121</f>
        <v>0</v>
      </c>
      <c r="CJ62" s="115">
        <f>'[8]FY20 Initial Budget Allocat (2)'!CJ62/'FY20 Initial Budget Allocat FTE'!CJ$121</f>
        <v>0</v>
      </c>
      <c r="CK62" s="79">
        <v>0</v>
      </c>
      <c r="CL62" s="79">
        <v>0</v>
      </c>
      <c r="CM62" s="79">
        <v>311349.09999999998</v>
      </c>
      <c r="CN62" s="79">
        <v>0</v>
      </c>
      <c r="CO62" s="115">
        <f>'[8]FY20 Initial Budget Allocat (2)'!CO62/'FY20 Initial Budget Allocat FTE'!CO$121</f>
        <v>0</v>
      </c>
      <c r="CP62" s="79">
        <v>0</v>
      </c>
      <c r="CQ62" s="79">
        <v>0</v>
      </c>
      <c r="CR62" s="79">
        <v>0</v>
      </c>
      <c r="CS62" s="79">
        <v>34398.781600000002</v>
      </c>
      <c r="CT62" s="115">
        <f>'[8]FY20 Initial Budget Allocat (2)'!CT62/'FY20 Initial Budget Allocat FTE'!CT$121</f>
        <v>1</v>
      </c>
      <c r="CU62" s="115">
        <f>'[8]FY20 Initial Budget Allocat (2)'!CU62/'FY20 Initial Budget Allocat FTE'!CU$121</f>
        <v>0</v>
      </c>
      <c r="CV62" s="79">
        <v>150000</v>
      </c>
      <c r="CX62" s="115">
        <f>'[8]FY20 Initial Budget Allocat (2)'!CX62/'FY20 Initial Budget Allocat FTE'!CX$121</f>
        <v>0</v>
      </c>
      <c r="CY62" s="79">
        <v>0</v>
      </c>
      <c r="CZ62" s="79">
        <v>0</v>
      </c>
      <c r="DA62" s="79">
        <v>26900</v>
      </c>
      <c r="DB62" s="79">
        <v>54664.830315191815</v>
      </c>
      <c r="DC62" s="82">
        <v>0</v>
      </c>
      <c r="DD62" s="79">
        <v>0</v>
      </c>
      <c r="DE62" s="79">
        <v>2750</v>
      </c>
      <c r="DG62" s="79">
        <v>0</v>
      </c>
      <c r="DH62" s="83">
        <v>0</v>
      </c>
      <c r="DI62" s="79">
        <v>15352.129507036967</v>
      </c>
      <c r="DJ62" s="79">
        <v>4129722.8373929444</v>
      </c>
      <c r="DK62" s="84">
        <v>2.6070554740726948E-3</v>
      </c>
      <c r="DL62" s="84">
        <v>0</v>
      </c>
      <c r="DM62" s="84">
        <f t="shared" si="0"/>
        <v>4129722.84</v>
      </c>
      <c r="DN62" s="116">
        <f t="shared" si="1"/>
        <v>0</v>
      </c>
      <c r="DO62" s="116">
        <f t="shared" si="2"/>
        <v>0</v>
      </c>
      <c r="DP62" s="116">
        <f t="shared" si="3"/>
        <v>11.2</v>
      </c>
      <c r="DQ62" s="116">
        <f t="shared" si="4"/>
        <v>10</v>
      </c>
      <c r="DR62" s="116">
        <f t="shared" si="5"/>
        <v>0</v>
      </c>
    </row>
    <row r="63" spans="1:122" x14ac:dyDescent="0.25">
      <c r="A63" s="76">
        <v>420</v>
      </c>
      <c r="B63" s="76" t="s">
        <v>202</v>
      </c>
      <c r="C63" s="77" t="s">
        <v>152</v>
      </c>
      <c r="D63" s="41">
        <v>4</v>
      </c>
      <c r="E63" s="78">
        <v>513</v>
      </c>
      <c r="F63" s="78">
        <v>358.04225352112672</v>
      </c>
      <c r="G63" s="115">
        <f>'[8]FY20 Initial Budget Allocat (2)'!G63/'FY20 Initial Budget Allocat FTE'!G$121</f>
        <v>1</v>
      </c>
      <c r="H63" s="115">
        <f>'[8]FY20 Initial Budget Allocat (2)'!H63/'FY20 Initial Budget Allocat FTE'!H$121</f>
        <v>1</v>
      </c>
      <c r="I63" s="115">
        <f>'[8]FY20 Initial Budget Allocat (2)'!I63/'FY20 Initial Budget Allocat FTE'!I$121</f>
        <v>1.7</v>
      </c>
      <c r="J63" s="115">
        <f>'[8]FY20 Initial Budget Allocat (2)'!J63/'FY20 Initial Budget Allocat FTE'!J$121</f>
        <v>1.3</v>
      </c>
      <c r="K63" s="115">
        <f>'[8]FY20 Initial Budget Allocat (2)'!K63/'FY20 Initial Budget Allocat FTE'!K$121</f>
        <v>0</v>
      </c>
      <c r="L63" s="115">
        <f>'[8]FY20 Initial Budget Allocat (2)'!L63/'FY20 Initial Budget Allocat FTE'!L$121</f>
        <v>1</v>
      </c>
      <c r="M63" s="115">
        <f>'[8]FY20 Initial Budget Allocat (2)'!M63/'FY20 Initial Budget Allocat FTE'!M$121</f>
        <v>1</v>
      </c>
      <c r="N63" s="115">
        <f>'[8]FY20 Initial Budget Allocat (2)'!N63/'FY20 Initial Budget Allocat FTE'!N$121</f>
        <v>1.3</v>
      </c>
      <c r="O63" s="115">
        <f>'[8]FY20 Initial Budget Allocat (2)'!O63/'FY20 Initial Budget Allocat FTE'!O$121</f>
        <v>0</v>
      </c>
      <c r="P63" s="115">
        <f>'[8]FY20 Initial Budget Allocat (2)'!P63/'FY20 Initial Budget Allocat FTE'!P$121</f>
        <v>0</v>
      </c>
      <c r="Q63" s="115">
        <f>'[8]FY20 Initial Budget Allocat (2)'!Q63/'FY20 Initial Budget Allocat FTE'!Q$121</f>
        <v>0</v>
      </c>
      <c r="R63" s="115">
        <f>'[8]FY20 Initial Budget Allocat (2)'!R63/'FY20 Initial Budget Allocat FTE'!R$121</f>
        <v>1</v>
      </c>
      <c r="S63" s="115">
        <f>'[8]FY20 Initial Budget Allocat (2)'!S63/'FY20 Initial Budget Allocat FTE'!S$121</f>
        <v>1</v>
      </c>
      <c r="T63" s="115">
        <f>'[8]FY20 Initial Budget Allocat (2)'!T63/'FY20 Initial Budget Allocat FTE'!T$121</f>
        <v>4</v>
      </c>
      <c r="U63" s="115">
        <f>'[8]FY20 Initial Budget Allocat (2)'!U63/'FY20 Initial Budget Allocat FTE'!U$121</f>
        <v>1</v>
      </c>
      <c r="V63" s="115">
        <f>'[8]FY20 Initial Budget Allocat (2)'!V63/'FY20 Initial Budget Allocat FTE'!V$121</f>
        <v>0</v>
      </c>
      <c r="W63" s="115">
        <f>'[8]FY20 Initial Budget Allocat (2)'!W63/'FY20 Initial Budget Allocat FTE'!W$121</f>
        <v>0</v>
      </c>
      <c r="X63" s="115">
        <f>'[8]FY20 Initial Budget Allocat (2)'!X63/'FY20 Initial Budget Allocat FTE'!X$121</f>
        <v>0</v>
      </c>
      <c r="Y63" s="115">
        <f>'[8]FY20 Initial Budget Allocat (2)'!Y63/'FY20 Initial Budget Allocat FTE'!Y$121</f>
        <v>0</v>
      </c>
      <c r="Z63" s="115">
        <f>'[8]FY20 Initial Budget Allocat (2)'!Z63/'FY20 Initial Budget Allocat FTE'!Z$121</f>
        <v>0</v>
      </c>
      <c r="AA63" s="115">
        <f>'[8]FY20 Initial Budget Allocat (2)'!AA63/'FY20 Initial Budget Allocat FTE'!AA$121</f>
        <v>0</v>
      </c>
      <c r="AB63" s="115">
        <f>'[8]FY20 Initial Budget Allocat (2)'!AB63/'FY20 Initial Budget Allocat FTE'!AB$121</f>
        <v>0</v>
      </c>
      <c r="AC63" s="115">
        <f>'[8]FY20 Initial Budget Allocat (2)'!AC63/'FY20 Initial Budget Allocat FTE'!AC$121</f>
        <v>0</v>
      </c>
      <c r="AD63" s="115">
        <f>'[8]FY20 Initial Budget Allocat (2)'!AD63/'FY20 Initial Budget Allocat FTE'!AD$121</f>
        <v>0</v>
      </c>
      <c r="AE63" s="115">
        <f>'[8]FY20 Initial Budget Allocat (2)'!AE63/'FY20 Initial Budget Allocat FTE'!AE$121</f>
        <v>0</v>
      </c>
      <c r="AF63" s="115">
        <f>'[8]FY20 Initial Budget Allocat (2)'!AF63/'FY20 Initial Budget Allocat FTE'!AF$121</f>
        <v>0</v>
      </c>
      <c r="AG63" s="115">
        <f>'[8]FY20 Initial Budget Allocat (2)'!AG63/'FY20 Initial Budget Allocat FTE'!AG$121</f>
        <v>0</v>
      </c>
      <c r="AH63" s="115">
        <f>'[8]FY20 Initial Budget Allocat (2)'!AH63/'FY20 Initial Budget Allocat FTE'!AH$121</f>
        <v>0</v>
      </c>
      <c r="AI63" s="115">
        <f>'[8]FY20 Initial Budget Allocat (2)'!AI63/'FY20 Initial Budget Allocat FTE'!AI$121</f>
        <v>0</v>
      </c>
      <c r="AJ63" s="115">
        <f>'[8]FY20 Initial Budget Allocat (2)'!AJ63/'FY20 Initial Budget Allocat FTE'!AJ$121</f>
        <v>0</v>
      </c>
      <c r="AK63" s="115">
        <f>'[8]FY20 Initial Budget Allocat (2)'!AK63/'FY20 Initial Budget Allocat FTE'!AK$121</f>
        <v>0</v>
      </c>
      <c r="AL63" s="115">
        <f>'[8]FY20 Initial Budget Allocat (2)'!AL63/'FY20 Initial Budget Allocat FTE'!AL$121</f>
        <v>0</v>
      </c>
      <c r="AM63" s="115">
        <f>'[8]FY20 Initial Budget Allocat (2)'!AM63/'FY20 Initial Budget Allocat FTE'!AM$121</f>
        <v>0</v>
      </c>
      <c r="AN63" s="115">
        <f>'[8]FY20 Initial Budget Allocat (2)'!AN63/'FY20 Initial Budget Allocat FTE'!AN$121</f>
        <v>9.5</v>
      </c>
      <c r="AO63" s="115">
        <f>'[8]FY20 Initial Budget Allocat (2)'!AO63/'FY20 Initial Budget Allocat FTE'!AO$121</f>
        <v>10.4</v>
      </c>
      <c r="AP63" s="115">
        <f>'[8]FY20 Initial Budget Allocat (2)'!AP63/'FY20 Initial Budget Allocat FTE'!AP$121</f>
        <v>3.4</v>
      </c>
      <c r="AQ63" s="115">
        <f>'[8]FY20 Initial Budget Allocat (2)'!AQ63/'FY20 Initial Budget Allocat FTE'!AQ$121</f>
        <v>0</v>
      </c>
      <c r="AR63" s="115">
        <f>'[8]FY20 Initial Budget Allocat (2)'!AR63/'FY20 Initial Budget Allocat FTE'!AR$121</f>
        <v>0</v>
      </c>
      <c r="AS63" s="115">
        <f>'[8]FY20 Initial Budget Allocat (2)'!AS63/'FY20 Initial Budget Allocat FTE'!AS$121</f>
        <v>0</v>
      </c>
      <c r="AT63" s="115">
        <f>'[8]FY20 Initial Budget Allocat (2)'!AT63/'FY20 Initial Budget Allocat FTE'!AT$121</f>
        <v>0</v>
      </c>
      <c r="AU63" s="115">
        <f>'[8]FY20 Initial Budget Allocat (2)'!AU63/'FY20 Initial Budget Allocat FTE'!AU$121</f>
        <v>0</v>
      </c>
      <c r="AV63" s="115">
        <f>'[8]FY20 Initial Budget Allocat (2)'!AV63/'FY20 Initial Budget Allocat FTE'!AV$121</f>
        <v>0</v>
      </c>
      <c r="AW63" s="115">
        <f>'[8]FY20 Initial Budget Allocat (2)'!AW63/'FY20 Initial Budget Allocat FTE'!AW$121</f>
        <v>0</v>
      </c>
      <c r="AX63" s="115">
        <f>'[8]FY20 Initial Budget Allocat (2)'!AX63/'FY20 Initial Budget Allocat FTE'!AX$121</f>
        <v>1</v>
      </c>
      <c r="AY63" s="115">
        <f>'[8]FY20 Initial Budget Allocat (2)'!AY63/'FY20 Initial Budget Allocat FTE'!AY$121</f>
        <v>2</v>
      </c>
      <c r="AZ63" s="115">
        <f>'[8]FY20 Initial Budget Allocat (2)'!AZ63/'FY20 Initial Budget Allocat FTE'!AZ$121</f>
        <v>9</v>
      </c>
      <c r="BA63" s="115">
        <f>'[8]FY20 Initial Budget Allocat (2)'!BA63/'FY20 Initial Budget Allocat FTE'!BA$121</f>
        <v>0</v>
      </c>
      <c r="BB63" s="115">
        <f>'[8]FY20 Initial Budget Allocat (2)'!BB63/'FY20 Initial Budget Allocat FTE'!BB$121</f>
        <v>0</v>
      </c>
      <c r="BC63" s="115">
        <f>'[8]FY20 Initial Budget Allocat (2)'!BC63/'FY20 Initial Budget Allocat FTE'!BC$121</f>
        <v>0</v>
      </c>
      <c r="BD63" s="115">
        <f>'[8]FY20 Initial Budget Allocat (2)'!BD63/'FY20 Initial Budget Allocat FTE'!BD$121</f>
        <v>9</v>
      </c>
      <c r="BE63" s="115">
        <f>'[8]FY20 Initial Budget Allocat (2)'!BE63/'FY20 Initial Budget Allocat FTE'!BE$121</f>
        <v>0</v>
      </c>
      <c r="BF63" s="115">
        <f>'[8]FY20 Initial Budget Allocat (2)'!BF63/'FY20 Initial Budget Allocat FTE'!BF$121</f>
        <v>2</v>
      </c>
      <c r="BG63" s="115">
        <f>'[8]FY20 Initial Budget Allocat (2)'!BG63/'FY20 Initial Budget Allocat FTE'!BG$121</f>
        <v>0</v>
      </c>
      <c r="BH63" s="115">
        <f>'[8]FY20 Initial Budget Allocat (2)'!BH63/'FY20 Initial Budget Allocat FTE'!BH$121</f>
        <v>0</v>
      </c>
      <c r="BI63" s="115">
        <f>'[8]FY20 Initial Budget Allocat (2)'!BI63/'FY20 Initial Budget Allocat FTE'!BI$121</f>
        <v>0</v>
      </c>
      <c r="BJ63" s="79"/>
      <c r="BK63" s="79">
        <v>0</v>
      </c>
      <c r="BL63" s="79"/>
      <c r="BM63" s="79">
        <v>62751.37</v>
      </c>
      <c r="BN63" s="79">
        <v>998.54</v>
      </c>
      <c r="BO63" s="79">
        <v>0</v>
      </c>
      <c r="BP63" s="115">
        <f>'[8]FY20 Initial Budget Allocat (2)'!BP63/'FY20 Initial Budget Allocat FTE'!BP$121</f>
        <v>0</v>
      </c>
      <c r="BQ63" s="115">
        <f>'[8]FY20 Initial Budget Allocat (2)'!BQ63/'FY20 Initial Budget Allocat FTE'!BQ$121</f>
        <v>0</v>
      </c>
      <c r="BR63" s="115">
        <f>'[8]FY20 Initial Budget Allocat (2)'!BR63/'FY20 Initial Budget Allocat FTE'!BR$121</f>
        <v>0</v>
      </c>
      <c r="BS63" s="115">
        <f>'[8]FY20 Initial Budget Allocat (2)'!BS63/'FY20 Initial Budget Allocat FTE'!BS$121</f>
        <v>0</v>
      </c>
      <c r="BT63" s="115">
        <f>'[8]FY20 Initial Budget Allocat (2)'!BT63/'FY20 Initial Budget Allocat FTE'!BT$121</f>
        <v>0</v>
      </c>
      <c r="BU63" s="115">
        <f>'[8]FY20 Initial Budget Allocat (2)'!BU63/'FY20 Initial Budget Allocat FTE'!BU$121</f>
        <v>0</v>
      </c>
      <c r="BV63" s="115">
        <f>'[8]FY20 Initial Budget Allocat (2)'!BV63/'FY20 Initial Budget Allocat FTE'!BV$121</f>
        <v>0</v>
      </c>
      <c r="BW63" s="80">
        <v>0</v>
      </c>
      <c r="BX63" s="80">
        <v>0</v>
      </c>
      <c r="BY63" s="80">
        <v>0</v>
      </c>
      <c r="BZ63" s="80">
        <v>0</v>
      </c>
      <c r="CA63" s="115">
        <f>'[8]FY20 Initial Budget Allocat (2)'!CA63/'FY20 Initial Budget Allocat FTE'!CA$121</f>
        <v>0</v>
      </c>
      <c r="CB63" s="115">
        <f>'[8]FY20 Initial Budget Allocat (2)'!CB63/'FY20 Initial Budget Allocat FTE'!CB$121</f>
        <v>0</v>
      </c>
      <c r="CC63" s="80">
        <v>0</v>
      </c>
      <c r="CD63" s="115">
        <f>'[8]FY20 Initial Budget Allocat (2)'!CD63/'FY20 Initial Budget Allocat FTE'!CD$121</f>
        <v>0</v>
      </c>
      <c r="CE63" s="115">
        <f>'[8]FY20 Initial Budget Allocat (2)'!CE63/'FY20 Initial Budget Allocat FTE'!CE$121</f>
        <v>0</v>
      </c>
      <c r="CF63" s="115">
        <f>'[8]FY20 Initial Budget Allocat (2)'!CF63/'FY20 Initial Budget Allocat FTE'!CF$121</f>
        <v>0</v>
      </c>
      <c r="CG63" s="115">
        <f>'[8]FY20 Initial Budget Allocat (2)'!CG63/'FY20 Initial Budget Allocat FTE'!CG$121</f>
        <v>0</v>
      </c>
      <c r="CH63" s="115">
        <f>'[8]FY20 Initial Budget Allocat (2)'!CH63/'FY20 Initial Budget Allocat FTE'!CH$121</f>
        <v>0</v>
      </c>
      <c r="CI63" s="115">
        <f>'[8]FY20 Initial Budget Allocat (2)'!CI63/'FY20 Initial Budget Allocat FTE'!CI$121</f>
        <v>3.0000000000000004</v>
      </c>
      <c r="CJ63" s="115">
        <f>'[8]FY20 Initial Budget Allocat (2)'!CJ63/'FY20 Initial Budget Allocat FTE'!CJ$121</f>
        <v>0</v>
      </c>
      <c r="CK63" s="79">
        <v>23000</v>
      </c>
      <c r="CL63" s="79">
        <v>5000</v>
      </c>
      <c r="CM63" s="79">
        <v>362651.6</v>
      </c>
      <c r="CN63" s="79">
        <v>100000</v>
      </c>
      <c r="CO63" s="115">
        <f>'[8]FY20 Initial Budget Allocat (2)'!CO63/'FY20 Initial Budget Allocat FTE'!CO$121</f>
        <v>0</v>
      </c>
      <c r="CP63" s="79">
        <v>0</v>
      </c>
      <c r="CQ63" s="79">
        <v>7160.8450704225343</v>
      </c>
      <c r="CR63" s="79">
        <v>39240</v>
      </c>
      <c r="CS63" s="79">
        <v>46657.599999999999</v>
      </c>
      <c r="CT63" s="115">
        <f>'[8]FY20 Initial Budget Allocat (2)'!CT63/'FY20 Initial Budget Allocat FTE'!CT$121</f>
        <v>0</v>
      </c>
      <c r="CU63" s="115">
        <f>'[8]FY20 Initial Budget Allocat (2)'!CU63/'FY20 Initial Budget Allocat FTE'!CU$121</f>
        <v>0</v>
      </c>
      <c r="CV63" s="79"/>
      <c r="CW63" s="79">
        <v>0</v>
      </c>
      <c r="CX63" s="115">
        <f>'[8]FY20 Initial Budget Allocat (2)'!CX63/'FY20 Initial Budget Allocat FTE'!CX$121</f>
        <v>1</v>
      </c>
      <c r="CY63" s="79">
        <v>0</v>
      </c>
      <c r="CZ63" s="79">
        <v>0</v>
      </c>
      <c r="DA63" s="79">
        <v>51300</v>
      </c>
      <c r="DB63" s="79">
        <v>109629.13452149414</v>
      </c>
      <c r="DC63" s="82">
        <v>0</v>
      </c>
      <c r="DD63" s="79">
        <v>0</v>
      </c>
      <c r="DE63" s="79"/>
      <c r="DF63" s="79">
        <v>13750</v>
      </c>
      <c r="DG63" s="79">
        <v>0</v>
      </c>
      <c r="DH63" s="83">
        <v>0</v>
      </c>
      <c r="DI63" s="79">
        <v>14809.676614716018</v>
      </c>
      <c r="DJ63" s="79">
        <v>7597364.103349315</v>
      </c>
      <c r="DK63" s="84">
        <v>0.73665068484842777</v>
      </c>
      <c r="DL63" s="84">
        <v>0</v>
      </c>
      <c r="DM63" s="84">
        <f t="shared" si="0"/>
        <v>7597364.8399999999</v>
      </c>
      <c r="DN63" s="116">
        <f t="shared" si="1"/>
        <v>0</v>
      </c>
      <c r="DO63" s="116">
        <f t="shared" si="2"/>
        <v>0</v>
      </c>
      <c r="DP63" s="116">
        <f t="shared" si="3"/>
        <v>23.299999999999997</v>
      </c>
      <c r="DQ63" s="116">
        <f t="shared" si="4"/>
        <v>23</v>
      </c>
      <c r="DR63" s="116">
        <f t="shared" si="5"/>
        <v>0</v>
      </c>
    </row>
    <row r="64" spans="1:122" x14ac:dyDescent="0.25">
      <c r="A64" s="76">
        <v>308</v>
      </c>
      <c r="B64" s="76" t="s">
        <v>203</v>
      </c>
      <c r="C64" s="77" t="s">
        <v>135</v>
      </c>
      <c r="D64" s="41">
        <v>8</v>
      </c>
      <c r="E64" s="78">
        <v>239</v>
      </c>
      <c r="F64" s="78">
        <v>215.52873563218392</v>
      </c>
      <c r="G64" s="115">
        <f>'[8]FY20 Initial Budget Allocat (2)'!G64/'FY20 Initial Budget Allocat FTE'!G$121</f>
        <v>1</v>
      </c>
      <c r="H64" s="115">
        <f>'[8]FY20 Initial Budget Allocat (2)'!H64/'FY20 Initial Budget Allocat FTE'!H$121</f>
        <v>1</v>
      </c>
      <c r="I64" s="115">
        <f>'[8]FY20 Initial Budget Allocat (2)'!I64/'FY20 Initial Budget Allocat FTE'!I$121</f>
        <v>0</v>
      </c>
      <c r="J64" s="115">
        <f>'[8]FY20 Initial Budget Allocat (2)'!J64/'FY20 Initial Budget Allocat FTE'!J$121</f>
        <v>0</v>
      </c>
      <c r="K64" s="115">
        <f>'[8]FY20 Initial Budget Allocat (2)'!K64/'FY20 Initial Budget Allocat FTE'!K$121</f>
        <v>0</v>
      </c>
      <c r="L64" s="115">
        <f>'[8]FY20 Initial Budget Allocat (2)'!L64/'FY20 Initial Budget Allocat FTE'!L$121</f>
        <v>0.5</v>
      </c>
      <c r="M64" s="115">
        <f>'[8]FY20 Initial Budget Allocat (2)'!M64/'FY20 Initial Budget Allocat FTE'!M$121</f>
        <v>1</v>
      </c>
      <c r="N64" s="115">
        <f>'[8]FY20 Initial Budget Allocat (2)'!N64/'FY20 Initial Budget Allocat FTE'!N$121</f>
        <v>0</v>
      </c>
      <c r="O64" s="115">
        <f>'[8]FY20 Initial Budget Allocat (2)'!O64/'FY20 Initial Budget Allocat FTE'!O$121</f>
        <v>0</v>
      </c>
      <c r="P64" s="115">
        <f>'[8]FY20 Initial Budget Allocat (2)'!P64/'FY20 Initial Budget Allocat FTE'!P$121</f>
        <v>0</v>
      </c>
      <c r="Q64" s="115">
        <f>'[8]FY20 Initial Budget Allocat (2)'!Q64/'FY20 Initial Budget Allocat FTE'!Q$121</f>
        <v>0</v>
      </c>
      <c r="R64" s="115">
        <f>'[8]FY20 Initial Budget Allocat (2)'!R64/'FY20 Initial Budget Allocat FTE'!R$121</f>
        <v>1</v>
      </c>
      <c r="S64" s="115">
        <f>'[8]FY20 Initial Budget Allocat (2)'!S64/'FY20 Initial Budget Allocat FTE'!S$121</f>
        <v>1</v>
      </c>
      <c r="T64" s="115">
        <f>'[8]FY20 Initial Budget Allocat (2)'!T64/'FY20 Initial Budget Allocat FTE'!T$121</f>
        <v>1</v>
      </c>
      <c r="U64" s="115">
        <f>'[8]FY20 Initial Budget Allocat (2)'!U64/'FY20 Initial Budget Allocat FTE'!U$121</f>
        <v>0.5</v>
      </c>
      <c r="V64" s="115">
        <f>'[8]FY20 Initial Budget Allocat (2)'!V64/'FY20 Initial Budget Allocat FTE'!V$121</f>
        <v>1</v>
      </c>
      <c r="W64" s="115">
        <f>'[8]FY20 Initial Budget Allocat (2)'!W64/'FY20 Initial Budget Allocat FTE'!W$121</f>
        <v>1</v>
      </c>
      <c r="X64" s="115">
        <f>'[8]FY20 Initial Budget Allocat (2)'!X64/'FY20 Initial Budget Allocat FTE'!X$121</f>
        <v>1</v>
      </c>
      <c r="Y64" s="115">
        <f>'[8]FY20 Initial Budget Allocat (2)'!Y64/'FY20 Initial Budget Allocat FTE'!Y$121</f>
        <v>0</v>
      </c>
      <c r="Z64" s="115">
        <f>'[8]FY20 Initial Budget Allocat (2)'!Z64/'FY20 Initial Budget Allocat FTE'!Z$121</f>
        <v>0</v>
      </c>
      <c r="AA64" s="115">
        <f>'[8]FY20 Initial Budget Allocat (2)'!AA64/'FY20 Initial Budget Allocat FTE'!AA$121</f>
        <v>2</v>
      </c>
      <c r="AB64" s="115">
        <f>'[8]FY20 Initial Budget Allocat (2)'!AB64/'FY20 Initial Budget Allocat FTE'!AB$121</f>
        <v>2</v>
      </c>
      <c r="AC64" s="115">
        <f>'[8]FY20 Initial Budget Allocat (2)'!AC64/'FY20 Initial Budget Allocat FTE'!AC$121</f>
        <v>0</v>
      </c>
      <c r="AD64" s="115">
        <f>'[8]FY20 Initial Budget Allocat (2)'!AD64/'FY20 Initial Budget Allocat FTE'!AD$121</f>
        <v>0</v>
      </c>
      <c r="AE64" s="115">
        <f>'[8]FY20 Initial Budget Allocat (2)'!AE64/'FY20 Initial Budget Allocat FTE'!AE$121</f>
        <v>2</v>
      </c>
      <c r="AF64" s="115">
        <f>'[8]FY20 Initial Budget Allocat (2)'!AF64/'FY20 Initial Budget Allocat FTE'!AF$121</f>
        <v>2</v>
      </c>
      <c r="AG64" s="115">
        <f>'[8]FY20 Initial Budget Allocat (2)'!AG64/'FY20 Initial Budget Allocat FTE'!AG$121</f>
        <v>2</v>
      </c>
      <c r="AH64" s="115">
        <f>'[8]FY20 Initial Budget Allocat (2)'!AH64/'FY20 Initial Budget Allocat FTE'!AH$121</f>
        <v>2</v>
      </c>
      <c r="AI64" s="115">
        <f>'[8]FY20 Initial Budget Allocat (2)'!AI64/'FY20 Initial Budget Allocat FTE'!AI$121</f>
        <v>1</v>
      </c>
      <c r="AJ64" s="115">
        <f>'[8]FY20 Initial Budget Allocat (2)'!AJ64/'FY20 Initial Budget Allocat FTE'!AJ$121</f>
        <v>2</v>
      </c>
      <c r="AK64" s="115">
        <f>'[8]FY20 Initial Budget Allocat (2)'!AK64/'FY20 Initial Budget Allocat FTE'!AK$121</f>
        <v>2</v>
      </c>
      <c r="AL64" s="115">
        <f>'[8]FY20 Initial Budget Allocat (2)'!AL64/'FY20 Initial Budget Allocat FTE'!AL$121</f>
        <v>1</v>
      </c>
      <c r="AM64" s="115">
        <f>'[8]FY20 Initial Budget Allocat (2)'!AM64/'FY20 Initial Budget Allocat FTE'!AM$121</f>
        <v>2</v>
      </c>
      <c r="AN64" s="115">
        <f>'[8]FY20 Initial Budget Allocat (2)'!AN64/'FY20 Initial Budget Allocat FTE'!AN$121</f>
        <v>0</v>
      </c>
      <c r="AO64" s="115">
        <f>'[8]FY20 Initial Budget Allocat (2)'!AO64/'FY20 Initial Budget Allocat FTE'!AO$121</f>
        <v>0</v>
      </c>
      <c r="AP64" s="115">
        <f>'[8]FY20 Initial Budget Allocat (2)'!AP64/'FY20 Initial Budget Allocat FTE'!AP$121</f>
        <v>0</v>
      </c>
      <c r="AQ64" s="115">
        <f>'[8]FY20 Initial Budget Allocat (2)'!AQ64/'FY20 Initial Budget Allocat FTE'!AQ$121</f>
        <v>0</v>
      </c>
      <c r="AR64" s="115">
        <f>'[8]FY20 Initial Budget Allocat (2)'!AR64/'FY20 Initial Budget Allocat FTE'!AR$121</f>
        <v>0</v>
      </c>
      <c r="AS64" s="115">
        <f>'[8]FY20 Initial Budget Allocat (2)'!AS64/'FY20 Initial Budget Allocat FTE'!AS$121</f>
        <v>0</v>
      </c>
      <c r="AT64" s="115">
        <f>'[8]FY20 Initial Budget Allocat (2)'!AT64/'FY20 Initial Budget Allocat FTE'!AT$121</f>
        <v>0</v>
      </c>
      <c r="AU64" s="115">
        <f>'[8]FY20 Initial Budget Allocat (2)'!AU64/'FY20 Initial Budget Allocat FTE'!AU$121</f>
        <v>0</v>
      </c>
      <c r="AV64" s="115">
        <f>'[8]FY20 Initial Budget Allocat (2)'!AV64/'FY20 Initial Budget Allocat FTE'!AV$121</f>
        <v>0</v>
      </c>
      <c r="AW64" s="115">
        <f>'[8]FY20 Initial Budget Allocat (2)'!AW64/'FY20 Initial Budget Allocat FTE'!AW$121</f>
        <v>0</v>
      </c>
      <c r="AX64" s="115">
        <f>'[8]FY20 Initial Budget Allocat (2)'!AX64/'FY20 Initial Budget Allocat FTE'!AX$121</f>
        <v>1</v>
      </c>
      <c r="AY64" s="115">
        <f>'[8]FY20 Initial Budget Allocat (2)'!AY64/'FY20 Initial Budget Allocat FTE'!AY$121</f>
        <v>1.5000000000000002</v>
      </c>
      <c r="AZ64" s="115">
        <f>'[8]FY20 Initial Budget Allocat (2)'!AZ64/'FY20 Initial Budget Allocat FTE'!AZ$121</f>
        <v>4</v>
      </c>
      <c r="BA64" s="115">
        <f>'[8]FY20 Initial Budget Allocat (2)'!BA64/'FY20 Initial Budget Allocat FTE'!BA$121</f>
        <v>1</v>
      </c>
      <c r="BB64" s="115">
        <f>'[8]FY20 Initial Budget Allocat (2)'!BB64/'FY20 Initial Budget Allocat FTE'!BB$121</f>
        <v>1</v>
      </c>
      <c r="BC64" s="115">
        <f>'[8]FY20 Initial Budget Allocat (2)'!BC64/'FY20 Initial Budget Allocat FTE'!BC$121</f>
        <v>0</v>
      </c>
      <c r="BD64" s="115">
        <f>'[8]FY20 Initial Budget Allocat (2)'!BD64/'FY20 Initial Budget Allocat FTE'!BD$121</f>
        <v>0</v>
      </c>
      <c r="BE64" s="115">
        <f>'[8]FY20 Initial Budget Allocat (2)'!BE64/'FY20 Initial Budget Allocat FTE'!BE$121</f>
        <v>0</v>
      </c>
      <c r="BF64" s="115">
        <f>'[8]FY20 Initial Budget Allocat (2)'!BF64/'FY20 Initial Budget Allocat FTE'!BF$121</f>
        <v>0</v>
      </c>
      <c r="BG64" s="115">
        <f>'[8]FY20 Initial Budget Allocat (2)'!BG64/'FY20 Initial Budget Allocat FTE'!BG$121</f>
        <v>0</v>
      </c>
      <c r="BH64" s="115">
        <f>'[8]FY20 Initial Budget Allocat (2)'!BH64/'FY20 Initial Budget Allocat FTE'!BH$121</f>
        <v>0</v>
      </c>
      <c r="BI64" s="115">
        <f>'[8]FY20 Initial Budget Allocat (2)'!BI64/'FY20 Initial Budget Allocat FTE'!BI$121</f>
        <v>0</v>
      </c>
      <c r="BJ64" s="79"/>
      <c r="BK64" s="79">
        <v>0</v>
      </c>
      <c r="BL64" s="79">
        <v>17208.599999999999</v>
      </c>
      <c r="BM64" s="79">
        <v>119798.06</v>
      </c>
      <c r="BN64" s="79">
        <v>1906.3</v>
      </c>
      <c r="BO64" s="79">
        <v>0</v>
      </c>
      <c r="BP64" s="115">
        <f>'[8]FY20 Initial Budget Allocat (2)'!BP64/'FY20 Initial Budget Allocat FTE'!BP$121</f>
        <v>0</v>
      </c>
      <c r="BQ64" s="115">
        <f>'[8]FY20 Initial Budget Allocat (2)'!BQ64/'FY20 Initial Budget Allocat FTE'!BQ$121</f>
        <v>0</v>
      </c>
      <c r="BR64" s="115">
        <f>'[8]FY20 Initial Budget Allocat (2)'!BR64/'FY20 Initial Budget Allocat FTE'!BR$121</f>
        <v>0</v>
      </c>
      <c r="BS64" s="115">
        <f>'[8]FY20 Initial Budget Allocat (2)'!BS64/'FY20 Initial Budget Allocat FTE'!BS$121</f>
        <v>0</v>
      </c>
      <c r="BT64" s="115">
        <f>'[8]FY20 Initial Budget Allocat (2)'!BT64/'FY20 Initial Budget Allocat FTE'!BT$121</f>
        <v>0</v>
      </c>
      <c r="BU64" s="115">
        <f>'[8]FY20 Initial Budget Allocat (2)'!BU64/'FY20 Initial Budget Allocat FTE'!BU$121</f>
        <v>0</v>
      </c>
      <c r="BV64" s="115">
        <f>'[8]FY20 Initial Budget Allocat (2)'!BV64/'FY20 Initial Budget Allocat FTE'!BV$121</f>
        <v>0</v>
      </c>
      <c r="BW64" s="80">
        <v>0</v>
      </c>
      <c r="BX64" s="80">
        <v>0</v>
      </c>
      <c r="BY64" s="80">
        <v>0</v>
      </c>
      <c r="BZ64" s="80">
        <v>0</v>
      </c>
      <c r="CA64" s="115">
        <f>'[8]FY20 Initial Budget Allocat (2)'!CA64/'FY20 Initial Budget Allocat FTE'!CA$121</f>
        <v>0</v>
      </c>
      <c r="CB64" s="115">
        <f>'[8]FY20 Initial Budget Allocat (2)'!CB64/'FY20 Initial Budget Allocat FTE'!CB$121</f>
        <v>0</v>
      </c>
      <c r="CC64" s="80">
        <v>0</v>
      </c>
      <c r="CD64" s="115">
        <f>'[8]FY20 Initial Budget Allocat (2)'!CD64/'FY20 Initial Budget Allocat FTE'!CD$121</f>
        <v>0</v>
      </c>
      <c r="CE64" s="115">
        <f>'[8]FY20 Initial Budget Allocat (2)'!CE64/'FY20 Initial Budget Allocat FTE'!CE$121</f>
        <v>0</v>
      </c>
      <c r="CF64" s="115">
        <f>'[8]FY20 Initial Budget Allocat (2)'!CF64/'FY20 Initial Budget Allocat FTE'!CF$121</f>
        <v>0</v>
      </c>
      <c r="CG64" s="115">
        <f>'[8]FY20 Initial Budget Allocat (2)'!CG64/'FY20 Initial Budget Allocat FTE'!CG$121</f>
        <v>0</v>
      </c>
      <c r="CH64" s="115">
        <f>'[8]FY20 Initial Budget Allocat (2)'!CH64/'FY20 Initial Budget Allocat FTE'!CH$121</f>
        <v>0</v>
      </c>
      <c r="CI64" s="115">
        <f>'[8]FY20 Initial Budget Allocat (2)'!CI64/'FY20 Initial Budget Allocat FTE'!CI$121</f>
        <v>0</v>
      </c>
      <c r="CJ64" s="115">
        <f>'[8]FY20 Initial Budget Allocat (2)'!CJ64/'FY20 Initial Budget Allocat FTE'!CJ$121</f>
        <v>0</v>
      </c>
      <c r="CK64" s="79">
        <v>0</v>
      </c>
      <c r="CL64" s="79">
        <v>0</v>
      </c>
      <c r="CM64" s="79">
        <v>54082.8</v>
      </c>
      <c r="CN64" s="79">
        <v>0</v>
      </c>
      <c r="CO64" s="115">
        <f>'[8]FY20 Initial Budget Allocat (2)'!CO64/'FY20 Initial Budget Allocat FTE'!CO$121</f>
        <v>0</v>
      </c>
      <c r="CP64" s="79">
        <v>0</v>
      </c>
      <c r="CQ64" s="79">
        <v>8621.1494252873563</v>
      </c>
      <c r="CR64" s="79">
        <v>0</v>
      </c>
      <c r="CS64" s="79">
        <v>14160.10576923077</v>
      </c>
      <c r="CT64" s="115">
        <f>'[8]FY20 Initial Budget Allocat (2)'!CT64/'FY20 Initial Budget Allocat FTE'!CT$121</f>
        <v>0</v>
      </c>
      <c r="CU64" s="115">
        <f>'[8]FY20 Initial Budget Allocat (2)'!CU64/'FY20 Initial Budget Allocat FTE'!CU$121</f>
        <v>0</v>
      </c>
      <c r="CV64" s="79"/>
      <c r="CW64" s="79">
        <v>0</v>
      </c>
      <c r="CX64" s="115">
        <f>'[8]FY20 Initial Budget Allocat (2)'!CX64/'FY20 Initial Budget Allocat FTE'!CX$121</f>
        <v>0</v>
      </c>
      <c r="CY64" s="79">
        <v>0</v>
      </c>
      <c r="CZ64" s="79">
        <v>0</v>
      </c>
      <c r="DA64" s="79">
        <v>23900</v>
      </c>
      <c r="DB64" s="79">
        <v>55754.109744500209</v>
      </c>
      <c r="DC64" s="82">
        <v>0</v>
      </c>
      <c r="DD64" s="79">
        <v>15363.214285714286</v>
      </c>
      <c r="DE64" s="79"/>
      <c r="DF64" s="79">
        <v>18000</v>
      </c>
      <c r="DG64" s="79">
        <v>0</v>
      </c>
      <c r="DH64" s="83">
        <v>0</v>
      </c>
      <c r="DI64" s="79">
        <v>15793.196326832402</v>
      </c>
      <c r="DJ64" s="79">
        <v>3774573.9221129436</v>
      </c>
      <c r="DK64" s="84">
        <v>173838.0778870564</v>
      </c>
      <c r="DL64" s="84">
        <v>0</v>
      </c>
      <c r="DM64" s="84">
        <f t="shared" si="0"/>
        <v>3948412</v>
      </c>
      <c r="DN64" s="116">
        <f t="shared" si="1"/>
        <v>6</v>
      </c>
      <c r="DO64" s="116">
        <f t="shared" si="2"/>
        <v>6</v>
      </c>
      <c r="DP64" s="116">
        <f t="shared" si="3"/>
        <v>8</v>
      </c>
      <c r="DQ64" s="116">
        <f t="shared" si="4"/>
        <v>6.5</v>
      </c>
      <c r="DR64" s="116">
        <f t="shared" si="5"/>
        <v>1</v>
      </c>
    </row>
    <row r="65" spans="1:122" x14ac:dyDescent="0.25">
      <c r="A65" s="76">
        <v>273</v>
      </c>
      <c r="B65" s="76" t="s">
        <v>204</v>
      </c>
      <c r="C65" s="77" t="s">
        <v>135</v>
      </c>
      <c r="D65" s="41">
        <v>3</v>
      </c>
      <c r="E65" s="78">
        <v>407</v>
      </c>
      <c r="F65" s="78">
        <v>13.089330024813895</v>
      </c>
      <c r="G65" s="115">
        <f>'[8]FY20 Initial Budget Allocat (2)'!G65/'FY20 Initial Budget Allocat FTE'!G$121</f>
        <v>1</v>
      </c>
      <c r="H65" s="115">
        <f>'[8]FY20 Initial Budget Allocat (2)'!H65/'FY20 Initial Budget Allocat FTE'!H$121</f>
        <v>1</v>
      </c>
      <c r="I65" s="115">
        <f>'[8]FY20 Initial Budget Allocat (2)'!I65/'FY20 Initial Budget Allocat FTE'!I$121</f>
        <v>1</v>
      </c>
      <c r="J65" s="115">
        <f>'[8]FY20 Initial Budget Allocat (2)'!J65/'FY20 Initial Budget Allocat FTE'!J$121</f>
        <v>0</v>
      </c>
      <c r="K65" s="115">
        <f>'[8]FY20 Initial Budget Allocat (2)'!K65/'FY20 Initial Budget Allocat FTE'!K$121</f>
        <v>0</v>
      </c>
      <c r="L65" s="115">
        <f>'[8]FY20 Initial Budget Allocat (2)'!L65/'FY20 Initial Budget Allocat FTE'!L$121</f>
        <v>1</v>
      </c>
      <c r="M65" s="115">
        <f>'[8]FY20 Initial Budget Allocat (2)'!M65/'FY20 Initial Budget Allocat FTE'!M$121</f>
        <v>1</v>
      </c>
      <c r="N65" s="115">
        <f>'[8]FY20 Initial Budget Allocat (2)'!N65/'FY20 Initial Budget Allocat FTE'!N$121</f>
        <v>1</v>
      </c>
      <c r="O65" s="115">
        <f>'[8]FY20 Initial Budget Allocat (2)'!O65/'FY20 Initial Budget Allocat FTE'!O$121</f>
        <v>0</v>
      </c>
      <c r="P65" s="115">
        <f>'[8]FY20 Initial Budget Allocat (2)'!P65/'FY20 Initial Budget Allocat FTE'!P$121</f>
        <v>0</v>
      </c>
      <c r="Q65" s="115">
        <f>'[8]FY20 Initial Budget Allocat (2)'!Q65/'FY20 Initial Budget Allocat FTE'!Q$121</f>
        <v>0</v>
      </c>
      <c r="R65" s="115">
        <f>'[8]FY20 Initial Budget Allocat (2)'!R65/'FY20 Initial Budget Allocat FTE'!R$121</f>
        <v>1</v>
      </c>
      <c r="S65" s="115">
        <f>'[8]FY20 Initial Budget Allocat (2)'!S65/'FY20 Initial Budget Allocat FTE'!S$121</f>
        <v>1</v>
      </c>
      <c r="T65" s="115">
        <f>'[8]FY20 Initial Budget Allocat (2)'!T65/'FY20 Initial Budget Allocat FTE'!T$121</f>
        <v>2</v>
      </c>
      <c r="U65" s="115">
        <f>'[8]FY20 Initial Budget Allocat (2)'!U65/'FY20 Initial Budget Allocat FTE'!U$121</f>
        <v>1</v>
      </c>
      <c r="V65" s="115">
        <f>'[8]FY20 Initial Budget Allocat (2)'!V65/'FY20 Initial Budget Allocat FTE'!V$121</f>
        <v>1</v>
      </c>
      <c r="W65" s="115">
        <f>'[8]FY20 Initial Budget Allocat (2)'!W65/'FY20 Initial Budget Allocat FTE'!W$121</f>
        <v>1</v>
      </c>
      <c r="X65" s="115">
        <f>'[8]FY20 Initial Budget Allocat (2)'!X65/'FY20 Initial Budget Allocat FTE'!X$121</f>
        <v>1</v>
      </c>
      <c r="Y65" s="115">
        <f>'[8]FY20 Initial Budget Allocat (2)'!Y65/'FY20 Initial Budget Allocat FTE'!Y$121</f>
        <v>1.5000000000000002</v>
      </c>
      <c r="Z65" s="115">
        <f>'[8]FY20 Initial Budget Allocat (2)'!Z65/'FY20 Initial Budget Allocat FTE'!Z$121</f>
        <v>0</v>
      </c>
      <c r="AA65" s="115">
        <f>'[8]FY20 Initial Budget Allocat (2)'!AA65/'FY20 Initial Budget Allocat FTE'!AA$121</f>
        <v>0</v>
      </c>
      <c r="AB65" s="115">
        <f>'[8]FY20 Initial Budget Allocat (2)'!AB65/'FY20 Initial Budget Allocat FTE'!AB$121</f>
        <v>0</v>
      </c>
      <c r="AC65" s="115">
        <f>'[8]FY20 Initial Budget Allocat (2)'!AC65/'FY20 Initial Budget Allocat FTE'!AC$121</f>
        <v>0</v>
      </c>
      <c r="AD65" s="115">
        <f>'[8]FY20 Initial Budget Allocat (2)'!AD65/'FY20 Initial Budget Allocat FTE'!AD$121</f>
        <v>0</v>
      </c>
      <c r="AE65" s="115">
        <f>'[8]FY20 Initial Budget Allocat (2)'!AE65/'FY20 Initial Budget Allocat FTE'!AE$121</f>
        <v>2</v>
      </c>
      <c r="AF65" s="115">
        <f>'[8]FY20 Initial Budget Allocat (2)'!AF65/'FY20 Initial Budget Allocat FTE'!AF$121</f>
        <v>2</v>
      </c>
      <c r="AG65" s="115">
        <f>'[8]FY20 Initial Budget Allocat (2)'!AG65/'FY20 Initial Budget Allocat FTE'!AG$121</f>
        <v>3.0000000000000004</v>
      </c>
      <c r="AH65" s="115">
        <f>'[8]FY20 Initial Budget Allocat (2)'!AH65/'FY20 Initial Budget Allocat FTE'!AH$121</f>
        <v>3</v>
      </c>
      <c r="AI65" s="115">
        <f>'[8]FY20 Initial Budget Allocat (2)'!AI65/'FY20 Initial Budget Allocat FTE'!AI$121</f>
        <v>3.0000000000000004</v>
      </c>
      <c r="AJ65" s="115">
        <f>'[8]FY20 Initial Budget Allocat (2)'!AJ65/'FY20 Initial Budget Allocat FTE'!AJ$121</f>
        <v>3.0000000000000004</v>
      </c>
      <c r="AK65" s="115">
        <f>'[8]FY20 Initial Budget Allocat (2)'!AK65/'FY20 Initial Budget Allocat FTE'!AK$121</f>
        <v>3.0000000000000004</v>
      </c>
      <c r="AL65" s="115">
        <f>'[8]FY20 Initial Budget Allocat (2)'!AL65/'FY20 Initial Budget Allocat FTE'!AL$121</f>
        <v>3.0000000000000004</v>
      </c>
      <c r="AM65" s="115">
        <f>'[8]FY20 Initial Budget Allocat (2)'!AM65/'FY20 Initial Budget Allocat FTE'!AM$121</f>
        <v>3.0000000000000004</v>
      </c>
      <c r="AN65" s="115">
        <f>'[8]FY20 Initial Budget Allocat (2)'!AN65/'FY20 Initial Budget Allocat FTE'!AN$121</f>
        <v>0</v>
      </c>
      <c r="AO65" s="115">
        <f>'[8]FY20 Initial Budget Allocat (2)'!AO65/'FY20 Initial Budget Allocat FTE'!AO$121</f>
        <v>0</v>
      </c>
      <c r="AP65" s="115">
        <f>'[8]FY20 Initial Budget Allocat (2)'!AP65/'FY20 Initial Budget Allocat FTE'!AP$121</f>
        <v>0</v>
      </c>
      <c r="AQ65" s="115">
        <f>'[8]FY20 Initial Budget Allocat (2)'!AQ65/'FY20 Initial Budget Allocat FTE'!AQ$121</f>
        <v>0</v>
      </c>
      <c r="AR65" s="115">
        <f>'[8]FY20 Initial Budget Allocat (2)'!AR65/'FY20 Initial Budget Allocat FTE'!AR$121</f>
        <v>0</v>
      </c>
      <c r="AS65" s="115">
        <f>'[8]FY20 Initial Budget Allocat (2)'!AS65/'FY20 Initial Budget Allocat FTE'!AS$121</f>
        <v>0</v>
      </c>
      <c r="AT65" s="115">
        <f>'[8]FY20 Initial Budget Allocat (2)'!AT65/'FY20 Initial Budget Allocat FTE'!AT$121</f>
        <v>0</v>
      </c>
      <c r="AU65" s="115">
        <f>'[8]FY20 Initial Budget Allocat (2)'!AU65/'FY20 Initial Budget Allocat FTE'!AU$121</f>
        <v>0</v>
      </c>
      <c r="AV65" s="115">
        <f>'[8]FY20 Initial Budget Allocat (2)'!AV65/'FY20 Initial Budget Allocat FTE'!AV$121</f>
        <v>0</v>
      </c>
      <c r="AW65" s="115">
        <f>'[8]FY20 Initial Budget Allocat (2)'!AW65/'FY20 Initial Budget Allocat FTE'!AW$121</f>
        <v>0</v>
      </c>
      <c r="AX65" s="115">
        <f>'[8]FY20 Initial Budget Allocat (2)'!AX65/'FY20 Initial Budget Allocat FTE'!AX$121</f>
        <v>0.5</v>
      </c>
      <c r="AY65" s="115">
        <f>'[8]FY20 Initial Budget Allocat (2)'!AY65/'FY20 Initial Budget Allocat FTE'!AY$121</f>
        <v>1</v>
      </c>
      <c r="AZ65" s="115">
        <f>'[8]FY20 Initial Budget Allocat (2)'!AZ65/'FY20 Initial Budget Allocat FTE'!AZ$121</f>
        <v>2</v>
      </c>
      <c r="BA65" s="115">
        <f>'[8]FY20 Initial Budget Allocat (2)'!BA65/'FY20 Initial Budget Allocat FTE'!BA$121</f>
        <v>0</v>
      </c>
      <c r="BB65" s="115">
        <f>'[8]FY20 Initial Budget Allocat (2)'!BB65/'FY20 Initial Budget Allocat FTE'!BB$121</f>
        <v>0</v>
      </c>
      <c r="BC65" s="115">
        <f>'[8]FY20 Initial Budget Allocat (2)'!BC65/'FY20 Initial Budget Allocat FTE'!BC$121</f>
        <v>0</v>
      </c>
      <c r="BD65" s="115">
        <f>'[8]FY20 Initial Budget Allocat (2)'!BD65/'FY20 Initial Budget Allocat FTE'!BD$121</f>
        <v>2</v>
      </c>
      <c r="BE65" s="115">
        <f>'[8]FY20 Initial Budget Allocat (2)'!BE65/'FY20 Initial Budget Allocat FTE'!BE$121</f>
        <v>0</v>
      </c>
      <c r="BF65" s="115">
        <f>'[8]FY20 Initial Budget Allocat (2)'!BF65/'FY20 Initial Budget Allocat FTE'!BF$121</f>
        <v>0</v>
      </c>
      <c r="BG65" s="115">
        <f>'[8]FY20 Initial Budget Allocat (2)'!BG65/'FY20 Initial Budget Allocat FTE'!BG$121</f>
        <v>0</v>
      </c>
      <c r="BH65" s="115">
        <f>'[8]FY20 Initial Budget Allocat (2)'!BH65/'FY20 Initial Budget Allocat FTE'!BH$121</f>
        <v>0</v>
      </c>
      <c r="BI65" s="115">
        <f>'[8]FY20 Initial Budget Allocat (2)'!BI65/'FY20 Initial Budget Allocat FTE'!BI$121</f>
        <v>0</v>
      </c>
      <c r="BJ65" s="79"/>
      <c r="BK65" s="79">
        <v>0</v>
      </c>
      <c r="BL65" s="79"/>
      <c r="BM65" s="79">
        <v>0</v>
      </c>
      <c r="BN65" s="79">
        <v>0</v>
      </c>
      <c r="BO65" s="79">
        <v>9975</v>
      </c>
      <c r="BP65" s="115">
        <f>'[8]FY20 Initial Budget Allocat (2)'!BP65/'FY20 Initial Budget Allocat FTE'!BP$121</f>
        <v>0</v>
      </c>
      <c r="BQ65" s="115">
        <f>'[8]FY20 Initial Budget Allocat (2)'!BQ65/'FY20 Initial Budget Allocat FTE'!BQ$121</f>
        <v>0</v>
      </c>
      <c r="BR65" s="115">
        <f>'[8]FY20 Initial Budget Allocat (2)'!BR65/'FY20 Initial Budget Allocat FTE'!BR$121</f>
        <v>0</v>
      </c>
      <c r="BS65" s="115">
        <f>'[8]FY20 Initial Budget Allocat (2)'!BS65/'FY20 Initial Budget Allocat FTE'!BS$121</f>
        <v>0</v>
      </c>
      <c r="BT65" s="115">
        <f>'[8]FY20 Initial Budget Allocat (2)'!BT65/'FY20 Initial Budget Allocat FTE'!BT$121</f>
        <v>0</v>
      </c>
      <c r="BU65" s="115">
        <f>'[8]FY20 Initial Budget Allocat (2)'!BU65/'FY20 Initial Budget Allocat FTE'!BU$121</f>
        <v>0</v>
      </c>
      <c r="BV65" s="115">
        <f>'[8]FY20 Initial Budget Allocat (2)'!BV65/'FY20 Initial Budget Allocat FTE'!BV$121</f>
        <v>0</v>
      </c>
      <c r="BW65" s="80">
        <v>0</v>
      </c>
      <c r="BX65" s="80">
        <v>0</v>
      </c>
      <c r="BY65" s="80">
        <v>0</v>
      </c>
      <c r="BZ65" s="80">
        <v>0</v>
      </c>
      <c r="CA65" s="115">
        <f>'[8]FY20 Initial Budget Allocat (2)'!CA65/'FY20 Initial Budget Allocat FTE'!CA$121</f>
        <v>0</v>
      </c>
      <c r="CB65" s="115">
        <f>'[8]FY20 Initial Budget Allocat (2)'!CB65/'FY20 Initial Budget Allocat FTE'!CB$121</f>
        <v>0</v>
      </c>
      <c r="CC65" s="80">
        <v>0</v>
      </c>
      <c r="CD65" s="115">
        <f>'[8]FY20 Initial Budget Allocat (2)'!CD65/'FY20 Initial Budget Allocat FTE'!CD$121</f>
        <v>0</v>
      </c>
      <c r="CE65" s="115">
        <f>'[8]FY20 Initial Budget Allocat (2)'!CE65/'FY20 Initial Budget Allocat FTE'!CE$121</f>
        <v>0</v>
      </c>
      <c r="CF65" s="115">
        <f>'[8]FY20 Initial Budget Allocat (2)'!CF65/'FY20 Initial Budget Allocat FTE'!CF$121</f>
        <v>0</v>
      </c>
      <c r="CG65" s="115">
        <f>'[8]FY20 Initial Budget Allocat (2)'!CG65/'FY20 Initial Budget Allocat FTE'!CG$121</f>
        <v>0</v>
      </c>
      <c r="CH65" s="115">
        <f>'[8]FY20 Initial Budget Allocat (2)'!CH65/'FY20 Initial Budget Allocat FTE'!CH$121</f>
        <v>0</v>
      </c>
      <c r="CI65" s="115">
        <f>'[8]FY20 Initial Budget Allocat (2)'!CI65/'FY20 Initial Budget Allocat FTE'!CI$121</f>
        <v>0</v>
      </c>
      <c r="CJ65" s="115">
        <f>'[8]FY20 Initial Budget Allocat (2)'!CJ65/'FY20 Initial Budget Allocat FTE'!CJ$121</f>
        <v>0</v>
      </c>
      <c r="CK65" s="79">
        <v>0</v>
      </c>
      <c r="CL65" s="79">
        <v>0</v>
      </c>
      <c r="CM65" s="79">
        <v>54082.8</v>
      </c>
      <c r="CN65" s="79">
        <v>0</v>
      </c>
      <c r="CO65" s="115">
        <f>'[8]FY20 Initial Budget Allocat (2)'!CO65/'FY20 Initial Budget Allocat FTE'!CO$121</f>
        <v>0</v>
      </c>
      <c r="CP65" s="79">
        <v>0</v>
      </c>
      <c r="CQ65" s="79">
        <v>0</v>
      </c>
      <c r="CR65" s="79">
        <v>0</v>
      </c>
      <c r="CS65" s="79">
        <v>20551.165000000001</v>
      </c>
      <c r="CT65" s="115">
        <f>'[8]FY20 Initial Budget Allocat (2)'!CT65/'FY20 Initial Budget Allocat FTE'!CT$121</f>
        <v>0</v>
      </c>
      <c r="CU65" s="115">
        <f>'[8]FY20 Initial Budget Allocat (2)'!CU65/'FY20 Initial Budget Allocat FTE'!CU$121</f>
        <v>0</v>
      </c>
      <c r="CV65" s="79"/>
      <c r="CW65" s="79">
        <v>0</v>
      </c>
      <c r="CX65" s="115">
        <f>'[8]FY20 Initial Budget Allocat (2)'!CX65/'FY20 Initial Budget Allocat FTE'!CX$121</f>
        <v>0</v>
      </c>
      <c r="CY65" s="79">
        <v>0</v>
      </c>
      <c r="CZ65" s="79">
        <v>0</v>
      </c>
      <c r="DA65" s="79">
        <v>40700</v>
      </c>
      <c r="DB65" s="79">
        <v>70593.627020820437</v>
      </c>
      <c r="DC65" s="82">
        <v>0</v>
      </c>
      <c r="DD65" s="79">
        <v>0</v>
      </c>
      <c r="DE65" s="79"/>
      <c r="DF65" s="79">
        <v>1350</v>
      </c>
      <c r="DG65" s="79">
        <v>0</v>
      </c>
      <c r="DH65" s="83">
        <v>0</v>
      </c>
      <c r="DI65" s="79">
        <v>11257.862217460839</v>
      </c>
      <c r="DJ65" s="79">
        <v>4581949.9225065615</v>
      </c>
      <c r="DK65" s="84">
        <v>-2.5065615773200989E-3</v>
      </c>
      <c r="DL65" s="84">
        <v>0</v>
      </c>
      <c r="DM65" s="84">
        <f t="shared" si="0"/>
        <v>4581949.92</v>
      </c>
      <c r="DN65" s="116">
        <f t="shared" si="1"/>
        <v>5</v>
      </c>
      <c r="DO65" s="116">
        <f t="shared" si="2"/>
        <v>5</v>
      </c>
      <c r="DP65" s="116">
        <f t="shared" si="3"/>
        <v>15.000000000000002</v>
      </c>
      <c r="DQ65" s="116">
        <f t="shared" si="4"/>
        <v>5.5</v>
      </c>
      <c r="DR65" s="116">
        <f t="shared" si="5"/>
        <v>0</v>
      </c>
    </row>
    <row r="66" spans="1:122" x14ac:dyDescent="0.25">
      <c r="A66" s="76">
        <v>284</v>
      </c>
      <c r="B66" s="76" t="s">
        <v>205</v>
      </c>
      <c r="C66" s="77" t="s">
        <v>135</v>
      </c>
      <c r="D66" s="41">
        <v>1</v>
      </c>
      <c r="E66" s="78">
        <v>453</v>
      </c>
      <c r="F66" s="78">
        <v>166.85063291139238</v>
      </c>
      <c r="G66" s="115">
        <f>'[8]FY20 Initial Budget Allocat (2)'!G66/'FY20 Initial Budget Allocat FTE'!G$121</f>
        <v>1</v>
      </c>
      <c r="H66" s="115">
        <f>'[8]FY20 Initial Budget Allocat (2)'!H66/'FY20 Initial Budget Allocat FTE'!H$121</f>
        <v>1</v>
      </c>
      <c r="I66" s="115">
        <f>'[8]FY20 Initial Budget Allocat (2)'!I66/'FY20 Initial Budget Allocat FTE'!I$121</f>
        <v>1.1000000000000001</v>
      </c>
      <c r="J66" s="115">
        <f>'[8]FY20 Initial Budget Allocat (2)'!J66/'FY20 Initial Budget Allocat FTE'!J$121</f>
        <v>0</v>
      </c>
      <c r="K66" s="115">
        <f>'[8]FY20 Initial Budget Allocat (2)'!K66/'FY20 Initial Budget Allocat FTE'!K$121</f>
        <v>0</v>
      </c>
      <c r="L66" s="115">
        <f>'[8]FY20 Initial Budget Allocat (2)'!L66/'FY20 Initial Budget Allocat FTE'!L$121</f>
        <v>1</v>
      </c>
      <c r="M66" s="115">
        <f>'[8]FY20 Initial Budget Allocat (2)'!M66/'FY20 Initial Budget Allocat FTE'!M$121</f>
        <v>1</v>
      </c>
      <c r="N66" s="115">
        <f>'[8]FY20 Initial Budget Allocat (2)'!N66/'FY20 Initial Budget Allocat FTE'!N$121</f>
        <v>1.1000000000000001</v>
      </c>
      <c r="O66" s="115">
        <f>'[8]FY20 Initial Budget Allocat (2)'!O66/'FY20 Initial Budget Allocat FTE'!O$121</f>
        <v>0</v>
      </c>
      <c r="P66" s="115">
        <f>'[8]FY20 Initial Budget Allocat (2)'!P66/'FY20 Initial Budget Allocat FTE'!P$121</f>
        <v>0</v>
      </c>
      <c r="Q66" s="115">
        <f>'[8]FY20 Initial Budget Allocat (2)'!Q66/'FY20 Initial Budget Allocat FTE'!Q$121</f>
        <v>0</v>
      </c>
      <c r="R66" s="115">
        <f>'[8]FY20 Initial Budget Allocat (2)'!R66/'FY20 Initial Budget Allocat FTE'!R$121</f>
        <v>1</v>
      </c>
      <c r="S66" s="115">
        <f>'[8]FY20 Initial Budget Allocat (2)'!S66/'FY20 Initial Budget Allocat FTE'!S$121</f>
        <v>1</v>
      </c>
      <c r="T66" s="115">
        <f>'[8]FY20 Initial Budget Allocat (2)'!T66/'FY20 Initial Budget Allocat FTE'!T$121</f>
        <v>4</v>
      </c>
      <c r="U66" s="115">
        <f>'[8]FY20 Initial Budget Allocat (2)'!U66/'FY20 Initial Budget Allocat FTE'!U$121</f>
        <v>1</v>
      </c>
      <c r="V66" s="115">
        <f>'[8]FY20 Initial Budget Allocat (2)'!V66/'FY20 Initial Budget Allocat FTE'!V$121</f>
        <v>1</v>
      </c>
      <c r="W66" s="115">
        <f>'[8]FY20 Initial Budget Allocat (2)'!W66/'FY20 Initial Budget Allocat FTE'!W$121</f>
        <v>1</v>
      </c>
      <c r="X66" s="115">
        <f>'[8]FY20 Initial Budget Allocat (2)'!X66/'FY20 Initial Budget Allocat FTE'!X$121</f>
        <v>1</v>
      </c>
      <c r="Y66" s="115">
        <f>'[8]FY20 Initial Budget Allocat (2)'!Y66/'FY20 Initial Budget Allocat FTE'!Y$121</f>
        <v>1.5000000000000002</v>
      </c>
      <c r="Z66" s="115">
        <f>'[8]FY20 Initial Budget Allocat (2)'!Z66/'FY20 Initial Budget Allocat FTE'!Z$121</f>
        <v>0</v>
      </c>
      <c r="AA66" s="115">
        <f>'[8]FY20 Initial Budget Allocat (2)'!AA66/'FY20 Initial Budget Allocat FTE'!AA$121</f>
        <v>2</v>
      </c>
      <c r="AB66" s="115">
        <f>'[8]FY20 Initial Budget Allocat (2)'!AB66/'FY20 Initial Budget Allocat FTE'!AB$121</f>
        <v>2</v>
      </c>
      <c r="AC66" s="115">
        <f>'[8]FY20 Initial Budget Allocat (2)'!AC66/'FY20 Initial Budget Allocat FTE'!AC$121</f>
        <v>2</v>
      </c>
      <c r="AD66" s="115">
        <f>'[8]FY20 Initial Budget Allocat (2)'!AD66/'FY20 Initial Budget Allocat FTE'!AD$121</f>
        <v>2</v>
      </c>
      <c r="AE66" s="115">
        <f>'[8]FY20 Initial Budget Allocat (2)'!AE66/'FY20 Initial Budget Allocat FTE'!AE$121</f>
        <v>2</v>
      </c>
      <c r="AF66" s="115">
        <f>'[8]FY20 Initial Budget Allocat (2)'!AF66/'FY20 Initial Budget Allocat FTE'!AF$121</f>
        <v>2</v>
      </c>
      <c r="AG66" s="115">
        <f>'[8]FY20 Initial Budget Allocat (2)'!AG66/'FY20 Initial Budget Allocat FTE'!AG$121</f>
        <v>3.0000000000000004</v>
      </c>
      <c r="AH66" s="115">
        <f>'[8]FY20 Initial Budget Allocat (2)'!AH66/'FY20 Initial Budget Allocat FTE'!AH$121</f>
        <v>3</v>
      </c>
      <c r="AI66" s="115">
        <f>'[8]FY20 Initial Budget Allocat (2)'!AI66/'FY20 Initial Budget Allocat FTE'!AI$121</f>
        <v>3.0000000000000004</v>
      </c>
      <c r="AJ66" s="115">
        <f>'[8]FY20 Initial Budget Allocat (2)'!AJ66/'FY20 Initial Budget Allocat FTE'!AJ$121</f>
        <v>3.0000000000000004</v>
      </c>
      <c r="AK66" s="115">
        <f>'[8]FY20 Initial Budget Allocat (2)'!AK66/'FY20 Initial Budget Allocat FTE'!AK$121</f>
        <v>3.0000000000000004</v>
      </c>
      <c r="AL66" s="115">
        <f>'[8]FY20 Initial Budget Allocat (2)'!AL66/'FY20 Initial Budget Allocat FTE'!AL$121</f>
        <v>3.0000000000000004</v>
      </c>
      <c r="AM66" s="115">
        <f>'[8]FY20 Initial Budget Allocat (2)'!AM66/'FY20 Initial Budget Allocat FTE'!AM$121</f>
        <v>2</v>
      </c>
      <c r="AN66" s="115">
        <f>'[8]FY20 Initial Budget Allocat (2)'!AN66/'FY20 Initial Budget Allocat FTE'!AN$121</f>
        <v>0</v>
      </c>
      <c r="AO66" s="115">
        <f>'[8]FY20 Initial Budget Allocat (2)'!AO66/'FY20 Initial Budget Allocat FTE'!AO$121</f>
        <v>0</v>
      </c>
      <c r="AP66" s="115">
        <f>'[8]FY20 Initial Budget Allocat (2)'!AP66/'FY20 Initial Budget Allocat FTE'!AP$121</f>
        <v>0</v>
      </c>
      <c r="AQ66" s="115">
        <f>'[8]FY20 Initial Budget Allocat (2)'!AQ66/'FY20 Initial Budget Allocat FTE'!AQ$121</f>
        <v>0</v>
      </c>
      <c r="AR66" s="115">
        <f>'[8]FY20 Initial Budget Allocat (2)'!AR66/'FY20 Initial Budget Allocat FTE'!AR$121</f>
        <v>0</v>
      </c>
      <c r="AS66" s="115">
        <f>'[8]FY20 Initial Budget Allocat (2)'!AS66/'FY20 Initial Budget Allocat FTE'!AS$121</f>
        <v>0</v>
      </c>
      <c r="AT66" s="115">
        <f>'[8]FY20 Initial Budget Allocat (2)'!AT66/'FY20 Initial Budget Allocat FTE'!AT$121</f>
        <v>0</v>
      </c>
      <c r="AU66" s="115">
        <f>'[8]FY20 Initial Budget Allocat (2)'!AU66/'FY20 Initial Budget Allocat FTE'!AU$121</f>
        <v>0</v>
      </c>
      <c r="AV66" s="115">
        <f>'[8]FY20 Initial Budget Allocat (2)'!AV66/'FY20 Initial Budget Allocat FTE'!AV$121</f>
        <v>0</v>
      </c>
      <c r="AW66" s="115">
        <f>'[8]FY20 Initial Budget Allocat (2)'!AW66/'FY20 Initial Budget Allocat FTE'!AW$121</f>
        <v>0</v>
      </c>
      <c r="AX66" s="115">
        <f>'[8]FY20 Initial Budget Allocat (2)'!AX66/'FY20 Initial Budget Allocat FTE'!AX$121</f>
        <v>1</v>
      </c>
      <c r="AY66" s="115">
        <f>'[8]FY20 Initial Budget Allocat (2)'!AY66/'FY20 Initial Budget Allocat FTE'!AY$121</f>
        <v>3.0000000000000004</v>
      </c>
      <c r="AZ66" s="115">
        <f>'[8]FY20 Initial Budget Allocat (2)'!AZ66/'FY20 Initial Budget Allocat FTE'!AZ$121</f>
        <v>5</v>
      </c>
      <c r="BA66" s="115">
        <f>'[8]FY20 Initial Budget Allocat (2)'!BA66/'FY20 Initial Budget Allocat FTE'!BA$121</f>
        <v>2</v>
      </c>
      <c r="BB66" s="115">
        <f>'[8]FY20 Initial Budget Allocat (2)'!BB66/'FY20 Initial Budget Allocat FTE'!BB$121</f>
        <v>2</v>
      </c>
      <c r="BC66" s="115">
        <f>'[8]FY20 Initial Budget Allocat (2)'!BC66/'FY20 Initial Budget Allocat FTE'!BC$121</f>
        <v>0</v>
      </c>
      <c r="BD66" s="115">
        <f>'[8]FY20 Initial Budget Allocat (2)'!BD66/'FY20 Initial Budget Allocat FTE'!BD$121</f>
        <v>11</v>
      </c>
      <c r="BE66" s="115">
        <f>'[8]FY20 Initial Budget Allocat (2)'!BE66/'FY20 Initial Budget Allocat FTE'!BE$121</f>
        <v>0</v>
      </c>
      <c r="BF66" s="115">
        <f>'[8]FY20 Initial Budget Allocat (2)'!BF66/'FY20 Initial Budget Allocat FTE'!BF$121</f>
        <v>2</v>
      </c>
      <c r="BG66" s="115">
        <f>'[8]FY20 Initial Budget Allocat (2)'!BG66/'FY20 Initial Budget Allocat FTE'!BG$121</f>
        <v>3.2505178750417638</v>
      </c>
      <c r="BH66" s="115">
        <f>'[8]FY20 Initial Budget Allocat (2)'!BH66/'FY20 Initial Budget Allocat FTE'!BH$121</f>
        <v>11</v>
      </c>
      <c r="BI66" s="115">
        <f>'[8]FY20 Initial Budget Allocat (2)'!BI66/'FY20 Initial Budget Allocat FTE'!BI$121</f>
        <v>0</v>
      </c>
      <c r="BJ66" s="79"/>
      <c r="BK66" s="79">
        <v>0</v>
      </c>
      <c r="BL66" s="79">
        <v>46388.4</v>
      </c>
      <c r="BM66" s="79">
        <v>202991.16</v>
      </c>
      <c r="BN66" s="79">
        <v>3230.11</v>
      </c>
      <c r="BO66" s="79">
        <v>0</v>
      </c>
      <c r="BP66" s="115">
        <f>'[8]FY20 Initial Budget Allocat (2)'!BP66/'FY20 Initial Budget Allocat FTE'!BP$121</f>
        <v>0</v>
      </c>
      <c r="BQ66" s="115">
        <f>'[8]FY20 Initial Budget Allocat (2)'!BQ66/'FY20 Initial Budget Allocat FTE'!BQ$121</f>
        <v>0</v>
      </c>
      <c r="BR66" s="115">
        <f>'[8]FY20 Initial Budget Allocat (2)'!BR66/'FY20 Initial Budget Allocat FTE'!BR$121</f>
        <v>0</v>
      </c>
      <c r="BS66" s="115">
        <f>'[8]FY20 Initial Budget Allocat (2)'!BS66/'FY20 Initial Budget Allocat FTE'!BS$121</f>
        <v>0</v>
      </c>
      <c r="BT66" s="115">
        <f>'[8]FY20 Initial Budget Allocat (2)'!BT66/'FY20 Initial Budget Allocat FTE'!BT$121</f>
        <v>0</v>
      </c>
      <c r="BU66" s="115">
        <f>'[8]FY20 Initial Budget Allocat (2)'!BU66/'FY20 Initial Budget Allocat FTE'!BU$121</f>
        <v>0</v>
      </c>
      <c r="BV66" s="115">
        <f>'[8]FY20 Initial Budget Allocat (2)'!BV66/'FY20 Initial Budget Allocat FTE'!BV$121</f>
        <v>0</v>
      </c>
      <c r="BW66" s="80">
        <v>0</v>
      </c>
      <c r="BX66" s="80">
        <v>0</v>
      </c>
      <c r="BY66" s="80">
        <v>0</v>
      </c>
      <c r="BZ66" s="80">
        <v>0</v>
      </c>
      <c r="CA66" s="115">
        <f>'[8]FY20 Initial Budget Allocat (2)'!CA66/'FY20 Initial Budget Allocat FTE'!CA$121</f>
        <v>0</v>
      </c>
      <c r="CB66" s="115">
        <f>'[8]FY20 Initial Budget Allocat (2)'!CB66/'FY20 Initial Budget Allocat FTE'!CB$121</f>
        <v>0</v>
      </c>
      <c r="CC66" s="80">
        <v>0</v>
      </c>
      <c r="CD66" s="115">
        <f>'[8]FY20 Initial Budget Allocat (2)'!CD66/'FY20 Initial Budget Allocat FTE'!CD$121</f>
        <v>0</v>
      </c>
      <c r="CE66" s="115">
        <f>'[8]FY20 Initial Budget Allocat (2)'!CE66/'FY20 Initial Budget Allocat FTE'!CE$121</f>
        <v>0</v>
      </c>
      <c r="CF66" s="115">
        <f>'[8]FY20 Initial Budget Allocat (2)'!CF66/'FY20 Initial Budget Allocat FTE'!CF$121</f>
        <v>0</v>
      </c>
      <c r="CG66" s="115">
        <f>'[8]FY20 Initial Budget Allocat (2)'!CG66/'FY20 Initial Budget Allocat FTE'!CG$121</f>
        <v>0</v>
      </c>
      <c r="CH66" s="115">
        <f>'[8]FY20 Initial Budget Allocat (2)'!CH66/'FY20 Initial Budget Allocat FTE'!CH$121</f>
        <v>1</v>
      </c>
      <c r="CI66" s="115">
        <f>'[8]FY20 Initial Budget Allocat (2)'!CI66/'FY20 Initial Budget Allocat FTE'!CI$121</f>
        <v>0</v>
      </c>
      <c r="CJ66" s="115">
        <f>'[8]FY20 Initial Budget Allocat (2)'!CJ66/'FY20 Initial Budget Allocat FTE'!CJ$121</f>
        <v>0</v>
      </c>
      <c r="CK66" s="79">
        <v>0</v>
      </c>
      <c r="CL66" s="79">
        <v>0</v>
      </c>
      <c r="CM66" s="79">
        <v>108165.6</v>
      </c>
      <c r="CN66" s="79">
        <v>0</v>
      </c>
      <c r="CO66" s="115">
        <f>'[8]FY20 Initial Budget Allocat (2)'!CO66/'FY20 Initial Budget Allocat FTE'!CO$121</f>
        <v>0</v>
      </c>
      <c r="CP66" s="79">
        <v>0</v>
      </c>
      <c r="CQ66" s="79">
        <v>3337.0126582278476</v>
      </c>
      <c r="CR66" s="79">
        <v>0</v>
      </c>
      <c r="CS66" s="79">
        <v>29096.255319148935</v>
      </c>
      <c r="CT66" s="115">
        <f>'[8]FY20 Initial Budget Allocat (2)'!CT66/'FY20 Initial Budget Allocat FTE'!CT$121</f>
        <v>0</v>
      </c>
      <c r="CU66" s="115">
        <f>'[8]FY20 Initial Budget Allocat (2)'!CU66/'FY20 Initial Budget Allocat FTE'!CU$121</f>
        <v>0</v>
      </c>
      <c r="CV66" s="79"/>
      <c r="CW66" s="79">
        <v>0</v>
      </c>
      <c r="CX66" s="115">
        <f>'[8]FY20 Initial Budget Allocat (2)'!CX66/'FY20 Initial Budget Allocat FTE'!CX$121</f>
        <v>0</v>
      </c>
      <c r="CY66" s="79">
        <v>5000</v>
      </c>
      <c r="CZ66" s="79">
        <v>70890</v>
      </c>
      <c r="DA66" s="79">
        <v>45300</v>
      </c>
      <c r="DB66" s="79">
        <v>113352.10203150767</v>
      </c>
      <c r="DC66" s="82">
        <v>0</v>
      </c>
      <c r="DD66" s="79">
        <v>59608.040324118745</v>
      </c>
      <c r="DE66" s="79"/>
      <c r="DF66" s="79">
        <v>4200</v>
      </c>
      <c r="DG66" s="79">
        <v>0</v>
      </c>
      <c r="DH66" s="83">
        <v>0</v>
      </c>
      <c r="DI66" s="79">
        <v>17404.285898683589</v>
      </c>
      <c r="DJ66" s="79">
        <v>7813251.5121036684</v>
      </c>
      <c r="DK66" s="84">
        <v>70889.997896331362</v>
      </c>
      <c r="DL66" s="84">
        <v>0</v>
      </c>
      <c r="DM66" s="84">
        <f t="shared" si="0"/>
        <v>7884141.5099999998</v>
      </c>
      <c r="DN66" s="116">
        <f t="shared" si="1"/>
        <v>9</v>
      </c>
      <c r="DO66" s="116">
        <f t="shared" si="2"/>
        <v>9</v>
      </c>
      <c r="DP66" s="116">
        <f t="shared" si="3"/>
        <v>14.000000000000002</v>
      </c>
      <c r="DQ66" s="116">
        <f t="shared" si="4"/>
        <v>22</v>
      </c>
      <c r="DR66" s="116">
        <f t="shared" si="5"/>
        <v>2</v>
      </c>
    </row>
    <row r="67" spans="1:122" x14ac:dyDescent="0.25">
      <c r="A67" s="76">
        <v>274</v>
      </c>
      <c r="B67" s="76" t="s">
        <v>206</v>
      </c>
      <c r="C67" s="77" t="s">
        <v>135</v>
      </c>
      <c r="D67" s="41">
        <v>6</v>
      </c>
      <c r="E67" s="78">
        <v>413</v>
      </c>
      <c r="F67" s="78">
        <v>63.735660847880304</v>
      </c>
      <c r="G67" s="115">
        <f>'[8]FY20 Initial Budget Allocat (2)'!G67/'FY20 Initial Budget Allocat FTE'!G$121</f>
        <v>1</v>
      </c>
      <c r="H67" s="115">
        <f>'[8]FY20 Initial Budget Allocat (2)'!H67/'FY20 Initial Budget Allocat FTE'!H$121</f>
        <v>1</v>
      </c>
      <c r="I67" s="115">
        <f>'[8]FY20 Initial Budget Allocat (2)'!I67/'FY20 Initial Budget Allocat FTE'!I$121</f>
        <v>1</v>
      </c>
      <c r="J67" s="115">
        <f>'[8]FY20 Initial Budget Allocat (2)'!J67/'FY20 Initial Budget Allocat FTE'!J$121</f>
        <v>0</v>
      </c>
      <c r="K67" s="115">
        <f>'[8]FY20 Initial Budget Allocat (2)'!K67/'FY20 Initial Budget Allocat FTE'!K$121</f>
        <v>0</v>
      </c>
      <c r="L67" s="115">
        <f>'[8]FY20 Initial Budget Allocat (2)'!L67/'FY20 Initial Budget Allocat FTE'!L$121</f>
        <v>1</v>
      </c>
      <c r="M67" s="115">
        <f>'[8]FY20 Initial Budget Allocat (2)'!M67/'FY20 Initial Budget Allocat FTE'!M$121</f>
        <v>1</v>
      </c>
      <c r="N67" s="115">
        <f>'[8]FY20 Initial Budget Allocat (2)'!N67/'FY20 Initial Budget Allocat FTE'!N$121</f>
        <v>1</v>
      </c>
      <c r="O67" s="115">
        <f>'[8]FY20 Initial Budget Allocat (2)'!O67/'FY20 Initial Budget Allocat FTE'!O$121</f>
        <v>0</v>
      </c>
      <c r="P67" s="115">
        <f>'[8]FY20 Initial Budget Allocat (2)'!P67/'FY20 Initial Budget Allocat FTE'!P$121</f>
        <v>0</v>
      </c>
      <c r="Q67" s="115">
        <f>'[8]FY20 Initial Budget Allocat (2)'!Q67/'FY20 Initial Budget Allocat FTE'!Q$121</f>
        <v>0</v>
      </c>
      <c r="R67" s="115">
        <f>'[8]FY20 Initial Budget Allocat (2)'!R67/'FY20 Initial Budget Allocat FTE'!R$121</f>
        <v>1</v>
      </c>
      <c r="S67" s="115">
        <f>'[8]FY20 Initial Budget Allocat (2)'!S67/'FY20 Initial Budget Allocat FTE'!S$121</f>
        <v>1</v>
      </c>
      <c r="T67" s="115">
        <f>'[8]FY20 Initial Budget Allocat (2)'!T67/'FY20 Initial Budget Allocat FTE'!T$121</f>
        <v>2</v>
      </c>
      <c r="U67" s="115">
        <f>'[8]FY20 Initial Budget Allocat (2)'!U67/'FY20 Initial Budget Allocat FTE'!U$121</f>
        <v>1</v>
      </c>
      <c r="V67" s="115">
        <f>'[8]FY20 Initial Budget Allocat (2)'!V67/'FY20 Initial Budget Allocat FTE'!V$121</f>
        <v>1</v>
      </c>
      <c r="W67" s="115">
        <f>'[8]FY20 Initial Budget Allocat (2)'!W67/'FY20 Initial Budget Allocat FTE'!W$121</f>
        <v>1</v>
      </c>
      <c r="X67" s="115">
        <f>'[8]FY20 Initial Budget Allocat (2)'!X67/'FY20 Initial Budget Allocat FTE'!X$121</f>
        <v>1</v>
      </c>
      <c r="Y67" s="115">
        <f>'[8]FY20 Initial Budget Allocat (2)'!Y67/'FY20 Initial Budget Allocat FTE'!Y$121</f>
        <v>1.5000000000000002</v>
      </c>
      <c r="Z67" s="115">
        <f>'[8]FY20 Initial Budget Allocat (2)'!Z67/'FY20 Initial Budget Allocat FTE'!Z$121</f>
        <v>0</v>
      </c>
      <c r="AA67" s="115">
        <f>'[8]FY20 Initial Budget Allocat (2)'!AA67/'FY20 Initial Budget Allocat FTE'!AA$121</f>
        <v>2</v>
      </c>
      <c r="AB67" s="115">
        <f>'[8]FY20 Initial Budget Allocat (2)'!AB67/'FY20 Initial Budget Allocat FTE'!AB$121</f>
        <v>2</v>
      </c>
      <c r="AC67" s="115">
        <f>'[8]FY20 Initial Budget Allocat (2)'!AC67/'FY20 Initial Budget Allocat FTE'!AC$121</f>
        <v>1</v>
      </c>
      <c r="AD67" s="115">
        <f>'[8]FY20 Initial Budget Allocat (2)'!AD67/'FY20 Initial Budget Allocat FTE'!AD$121</f>
        <v>1</v>
      </c>
      <c r="AE67" s="115">
        <f>'[8]FY20 Initial Budget Allocat (2)'!AE67/'FY20 Initial Budget Allocat FTE'!AE$121</f>
        <v>2</v>
      </c>
      <c r="AF67" s="115">
        <f>'[8]FY20 Initial Budget Allocat (2)'!AF67/'FY20 Initial Budget Allocat FTE'!AF$121</f>
        <v>2</v>
      </c>
      <c r="AG67" s="115">
        <f>'[8]FY20 Initial Budget Allocat (2)'!AG67/'FY20 Initial Budget Allocat FTE'!AG$121</f>
        <v>3.0000000000000004</v>
      </c>
      <c r="AH67" s="115">
        <f>'[8]FY20 Initial Budget Allocat (2)'!AH67/'FY20 Initial Budget Allocat FTE'!AH$121</f>
        <v>3</v>
      </c>
      <c r="AI67" s="115">
        <f>'[8]FY20 Initial Budget Allocat (2)'!AI67/'FY20 Initial Budget Allocat FTE'!AI$121</f>
        <v>3.0000000000000004</v>
      </c>
      <c r="AJ67" s="115">
        <f>'[8]FY20 Initial Budget Allocat (2)'!AJ67/'FY20 Initial Budget Allocat FTE'!AJ$121</f>
        <v>3.0000000000000004</v>
      </c>
      <c r="AK67" s="115">
        <f>'[8]FY20 Initial Budget Allocat (2)'!AK67/'FY20 Initial Budget Allocat FTE'!AK$121</f>
        <v>3.0000000000000004</v>
      </c>
      <c r="AL67" s="115">
        <f>'[8]FY20 Initial Budget Allocat (2)'!AL67/'FY20 Initial Budget Allocat FTE'!AL$121</f>
        <v>2</v>
      </c>
      <c r="AM67" s="115">
        <f>'[8]FY20 Initial Budget Allocat (2)'!AM67/'FY20 Initial Budget Allocat FTE'!AM$121</f>
        <v>2</v>
      </c>
      <c r="AN67" s="115">
        <f>'[8]FY20 Initial Budget Allocat (2)'!AN67/'FY20 Initial Budget Allocat FTE'!AN$121</f>
        <v>0</v>
      </c>
      <c r="AO67" s="115">
        <f>'[8]FY20 Initial Budget Allocat (2)'!AO67/'FY20 Initial Budget Allocat FTE'!AO$121</f>
        <v>0</v>
      </c>
      <c r="AP67" s="115">
        <f>'[8]FY20 Initial Budget Allocat (2)'!AP67/'FY20 Initial Budget Allocat FTE'!AP$121</f>
        <v>0</v>
      </c>
      <c r="AQ67" s="115">
        <f>'[8]FY20 Initial Budget Allocat (2)'!AQ67/'FY20 Initial Budget Allocat FTE'!AQ$121</f>
        <v>0</v>
      </c>
      <c r="AR67" s="115">
        <f>'[8]FY20 Initial Budget Allocat (2)'!AR67/'FY20 Initial Budget Allocat FTE'!AR$121</f>
        <v>0</v>
      </c>
      <c r="AS67" s="115">
        <f>'[8]FY20 Initial Budget Allocat (2)'!AS67/'FY20 Initial Budget Allocat FTE'!AS$121</f>
        <v>0</v>
      </c>
      <c r="AT67" s="115">
        <f>'[8]FY20 Initial Budget Allocat (2)'!AT67/'FY20 Initial Budget Allocat FTE'!AT$121</f>
        <v>0</v>
      </c>
      <c r="AU67" s="115">
        <f>'[8]FY20 Initial Budget Allocat (2)'!AU67/'FY20 Initial Budget Allocat FTE'!AU$121</f>
        <v>0</v>
      </c>
      <c r="AV67" s="115">
        <f>'[8]FY20 Initial Budget Allocat (2)'!AV67/'FY20 Initial Budget Allocat FTE'!AV$121</f>
        <v>0</v>
      </c>
      <c r="AW67" s="115">
        <f>'[8]FY20 Initial Budget Allocat (2)'!AW67/'FY20 Initial Budget Allocat FTE'!AW$121</f>
        <v>0</v>
      </c>
      <c r="AX67" s="115">
        <f>'[8]FY20 Initial Budget Allocat (2)'!AX67/'FY20 Initial Budget Allocat FTE'!AX$121</f>
        <v>0.52944410816370935</v>
      </c>
      <c r="AY67" s="115">
        <f>'[8]FY20 Initial Budget Allocat (2)'!AY67/'FY20 Initial Budget Allocat FTE'!AY$121</f>
        <v>1</v>
      </c>
      <c r="AZ67" s="115">
        <f>'[8]FY20 Initial Budget Allocat (2)'!AZ67/'FY20 Initial Budget Allocat FTE'!AZ$121</f>
        <v>3.0000000000000004</v>
      </c>
      <c r="BA67" s="115">
        <f>'[8]FY20 Initial Budget Allocat (2)'!BA67/'FY20 Initial Budget Allocat FTE'!BA$121</f>
        <v>0</v>
      </c>
      <c r="BB67" s="115">
        <f>'[8]FY20 Initial Budget Allocat (2)'!BB67/'FY20 Initial Budget Allocat FTE'!BB$121</f>
        <v>0</v>
      </c>
      <c r="BC67" s="115">
        <f>'[8]FY20 Initial Budget Allocat (2)'!BC67/'FY20 Initial Budget Allocat FTE'!BC$121</f>
        <v>0</v>
      </c>
      <c r="BD67" s="115">
        <f>'[8]FY20 Initial Budget Allocat (2)'!BD67/'FY20 Initial Budget Allocat FTE'!BD$121</f>
        <v>1</v>
      </c>
      <c r="BE67" s="115">
        <f>'[8]FY20 Initial Budget Allocat (2)'!BE67/'FY20 Initial Budget Allocat FTE'!BE$121</f>
        <v>0</v>
      </c>
      <c r="BF67" s="115">
        <f>'[8]FY20 Initial Budget Allocat (2)'!BF67/'FY20 Initial Budget Allocat FTE'!BF$121</f>
        <v>0</v>
      </c>
      <c r="BG67" s="115">
        <f>'[8]FY20 Initial Budget Allocat (2)'!BG67/'FY20 Initial Budget Allocat FTE'!BG$121</f>
        <v>0</v>
      </c>
      <c r="BH67" s="115">
        <f>'[8]FY20 Initial Budget Allocat (2)'!BH67/'FY20 Initial Budget Allocat FTE'!BH$121</f>
        <v>0</v>
      </c>
      <c r="BI67" s="115">
        <f>'[8]FY20 Initial Budget Allocat (2)'!BI67/'FY20 Initial Budget Allocat FTE'!BI$121</f>
        <v>0</v>
      </c>
      <c r="BJ67" s="79"/>
      <c r="BK67" s="79">
        <v>0</v>
      </c>
      <c r="BL67" s="79"/>
      <c r="BM67" s="79">
        <v>0</v>
      </c>
      <c r="BN67" s="79">
        <v>0</v>
      </c>
      <c r="BO67" s="79">
        <v>10175</v>
      </c>
      <c r="BP67" s="115">
        <f>'[8]FY20 Initial Budget Allocat (2)'!BP67/'FY20 Initial Budget Allocat FTE'!BP$121</f>
        <v>0</v>
      </c>
      <c r="BQ67" s="115">
        <f>'[8]FY20 Initial Budget Allocat (2)'!BQ67/'FY20 Initial Budget Allocat FTE'!BQ$121</f>
        <v>0</v>
      </c>
      <c r="BR67" s="115">
        <f>'[8]FY20 Initial Budget Allocat (2)'!BR67/'FY20 Initial Budget Allocat FTE'!BR$121</f>
        <v>0</v>
      </c>
      <c r="BS67" s="115">
        <f>'[8]FY20 Initial Budget Allocat (2)'!BS67/'FY20 Initial Budget Allocat FTE'!BS$121</f>
        <v>0</v>
      </c>
      <c r="BT67" s="115">
        <f>'[8]FY20 Initial Budget Allocat (2)'!BT67/'FY20 Initial Budget Allocat FTE'!BT$121</f>
        <v>0</v>
      </c>
      <c r="BU67" s="115">
        <f>'[8]FY20 Initial Budget Allocat (2)'!BU67/'FY20 Initial Budget Allocat FTE'!BU$121</f>
        <v>0</v>
      </c>
      <c r="BV67" s="115">
        <f>'[8]FY20 Initial Budget Allocat (2)'!BV67/'FY20 Initial Budget Allocat FTE'!BV$121</f>
        <v>0</v>
      </c>
      <c r="BW67" s="80">
        <v>0</v>
      </c>
      <c r="BX67" s="80">
        <v>0</v>
      </c>
      <c r="BY67" s="80">
        <v>0</v>
      </c>
      <c r="BZ67" s="80">
        <v>0</v>
      </c>
      <c r="CA67" s="115">
        <f>'[8]FY20 Initial Budget Allocat (2)'!CA67/'FY20 Initial Budget Allocat FTE'!CA$121</f>
        <v>0</v>
      </c>
      <c r="CB67" s="115">
        <f>'[8]FY20 Initial Budget Allocat (2)'!CB67/'FY20 Initial Budget Allocat FTE'!CB$121</f>
        <v>0</v>
      </c>
      <c r="CC67" s="80">
        <v>0</v>
      </c>
      <c r="CD67" s="115">
        <f>'[8]FY20 Initial Budget Allocat (2)'!CD67/'FY20 Initial Budget Allocat FTE'!CD$121</f>
        <v>0</v>
      </c>
      <c r="CE67" s="115">
        <f>'[8]FY20 Initial Budget Allocat (2)'!CE67/'FY20 Initial Budget Allocat FTE'!CE$121</f>
        <v>0</v>
      </c>
      <c r="CF67" s="115">
        <f>'[8]FY20 Initial Budget Allocat (2)'!CF67/'FY20 Initial Budget Allocat FTE'!CF$121</f>
        <v>0</v>
      </c>
      <c r="CG67" s="115">
        <f>'[8]FY20 Initial Budget Allocat (2)'!CG67/'FY20 Initial Budget Allocat FTE'!CG$121</f>
        <v>0</v>
      </c>
      <c r="CH67" s="115">
        <f>'[8]FY20 Initial Budget Allocat (2)'!CH67/'FY20 Initial Budget Allocat FTE'!CH$121</f>
        <v>0</v>
      </c>
      <c r="CI67" s="115">
        <f>'[8]FY20 Initial Budget Allocat (2)'!CI67/'FY20 Initial Budget Allocat FTE'!CI$121</f>
        <v>0</v>
      </c>
      <c r="CJ67" s="115">
        <f>'[8]FY20 Initial Budget Allocat (2)'!CJ67/'FY20 Initial Budget Allocat FTE'!CJ$121</f>
        <v>0</v>
      </c>
      <c r="CK67" s="79">
        <v>0</v>
      </c>
      <c r="CL67" s="79">
        <v>0</v>
      </c>
      <c r="CM67" s="79">
        <v>54082.8</v>
      </c>
      <c r="CN67" s="79">
        <v>0</v>
      </c>
      <c r="CO67" s="115">
        <f>'[8]FY20 Initial Budget Allocat (2)'!CO67/'FY20 Initial Budget Allocat FTE'!CO$121</f>
        <v>0</v>
      </c>
      <c r="CP67" s="79">
        <v>0</v>
      </c>
      <c r="CQ67" s="79">
        <v>0</v>
      </c>
      <c r="CR67" s="79">
        <v>0</v>
      </c>
      <c r="CS67" s="79">
        <v>22086.273195876289</v>
      </c>
      <c r="CT67" s="115">
        <f>'[8]FY20 Initial Budget Allocat (2)'!CT67/'FY20 Initial Budget Allocat FTE'!CT$121</f>
        <v>0</v>
      </c>
      <c r="CU67" s="115">
        <f>'[8]FY20 Initial Budget Allocat (2)'!CU67/'FY20 Initial Budget Allocat FTE'!CU$121</f>
        <v>0</v>
      </c>
      <c r="CV67" s="79"/>
      <c r="CW67" s="79">
        <v>0</v>
      </c>
      <c r="CX67" s="115">
        <f>'[8]FY20 Initial Budget Allocat (2)'!CX67/'FY20 Initial Budget Allocat FTE'!CX$121</f>
        <v>0</v>
      </c>
      <c r="CY67" s="79">
        <v>0</v>
      </c>
      <c r="CZ67" s="79">
        <v>0</v>
      </c>
      <c r="DA67" s="79">
        <v>41300</v>
      </c>
      <c r="DB67" s="79">
        <v>74063.739360063628</v>
      </c>
      <c r="DC67" s="82">
        <v>0</v>
      </c>
      <c r="DD67" s="79">
        <v>0</v>
      </c>
      <c r="DE67" s="79"/>
      <c r="DF67" s="79">
        <v>2550</v>
      </c>
      <c r="DG67" s="79">
        <v>0</v>
      </c>
      <c r="DH67" s="83">
        <v>0</v>
      </c>
      <c r="DI67" s="79">
        <v>11633.147871537494</v>
      </c>
      <c r="DJ67" s="79">
        <v>4804490.0709449854</v>
      </c>
      <c r="DK67" s="84">
        <v>-9.4498507678508759E-4</v>
      </c>
      <c r="DL67" s="84">
        <v>0</v>
      </c>
      <c r="DM67" s="84">
        <f t="shared" si="0"/>
        <v>4804490.07</v>
      </c>
      <c r="DN67" s="116">
        <f t="shared" si="1"/>
        <v>8</v>
      </c>
      <c r="DO67" s="116">
        <f t="shared" si="2"/>
        <v>8</v>
      </c>
      <c r="DP67" s="116">
        <f t="shared" si="3"/>
        <v>13.000000000000002</v>
      </c>
      <c r="DQ67" s="116">
        <f t="shared" si="4"/>
        <v>5.5294441081637098</v>
      </c>
      <c r="DR67" s="116">
        <f t="shared" si="5"/>
        <v>0</v>
      </c>
    </row>
    <row r="68" spans="1:122" x14ac:dyDescent="0.25">
      <c r="A68" s="76">
        <v>435</v>
      </c>
      <c r="B68" s="76" t="s">
        <v>207</v>
      </c>
      <c r="C68" s="77" t="s">
        <v>152</v>
      </c>
      <c r="D68" s="41">
        <v>5</v>
      </c>
      <c r="E68" s="78">
        <v>227</v>
      </c>
      <c r="F68" s="78">
        <v>142.66515837104075</v>
      </c>
      <c r="G68" s="115">
        <f>'[8]FY20 Initial Budget Allocat (2)'!G68/'FY20 Initial Budget Allocat FTE'!G$121</f>
        <v>0.5</v>
      </c>
      <c r="H68" s="115">
        <f>'[8]FY20 Initial Budget Allocat (2)'!H68/'FY20 Initial Budget Allocat FTE'!H$121</f>
        <v>1</v>
      </c>
      <c r="I68" s="115">
        <f>'[8]FY20 Initial Budget Allocat (2)'!I68/'FY20 Initial Budget Allocat FTE'!I$121</f>
        <v>1.8</v>
      </c>
      <c r="J68" s="115">
        <f>'[8]FY20 Initial Budget Allocat (2)'!J68/'FY20 Initial Budget Allocat FTE'!J$121</f>
        <v>1</v>
      </c>
      <c r="K68" s="115">
        <f>'[8]FY20 Initial Budget Allocat (2)'!K68/'FY20 Initial Budget Allocat FTE'!K$121</f>
        <v>0</v>
      </c>
      <c r="L68" s="115">
        <f>'[8]FY20 Initial Budget Allocat (2)'!L68/'FY20 Initial Budget Allocat FTE'!L$121</f>
        <v>0.5</v>
      </c>
      <c r="M68" s="115">
        <f>'[8]FY20 Initial Budget Allocat (2)'!M68/'FY20 Initial Budget Allocat FTE'!M$121</f>
        <v>1</v>
      </c>
      <c r="N68" s="115">
        <f>'[8]FY20 Initial Budget Allocat (2)'!N68/'FY20 Initial Budget Allocat FTE'!N$121</f>
        <v>0</v>
      </c>
      <c r="O68" s="115">
        <f>'[8]FY20 Initial Budget Allocat (2)'!O68/'FY20 Initial Budget Allocat FTE'!O$121</f>
        <v>0</v>
      </c>
      <c r="P68" s="115">
        <f>'[8]FY20 Initial Budget Allocat (2)'!P68/'FY20 Initial Budget Allocat FTE'!P$121</f>
        <v>0</v>
      </c>
      <c r="Q68" s="115">
        <f>'[8]FY20 Initial Budget Allocat (2)'!Q68/'FY20 Initial Budget Allocat FTE'!Q$121</f>
        <v>0</v>
      </c>
      <c r="R68" s="115">
        <f>'[8]FY20 Initial Budget Allocat (2)'!R68/'FY20 Initial Budget Allocat FTE'!R$121</f>
        <v>1</v>
      </c>
      <c r="S68" s="115">
        <f>'[8]FY20 Initial Budget Allocat (2)'!S68/'FY20 Initial Budget Allocat FTE'!S$121</f>
        <v>1</v>
      </c>
      <c r="T68" s="115">
        <f>'[8]FY20 Initial Budget Allocat (2)'!T68/'FY20 Initial Budget Allocat FTE'!T$121</f>
        <v>2</v>
      </c>
      <c r="U68" s="115">
        <f>'[8]FY20 Initial Budget Allocat (2)'!U68/'FY20 Initial Budget Allocat FTE'!U$121</f>
        <v>0.5</v>
      </c>
      <c r="V68" s="115">
        <f>'[8]FY20 Initial Budget Allocat (2)'!V68/'FY20 Initial Budget Allocat FTE'!V$121</f>
        <v>0</v>
      </c>
      <c r="W68" s="115">
        <f>'[8]FY20 Initial Budget Allocat (2)'!W68/'FY20 Initial Budget Allocat FTE'!W$121</f>
        <v>0</v>
      </c>
      <c r="X68" s="115">
        <f>'[8]FY20 Initial Budget Allocat (2)'!X68/'FY20 Initial Budget Allocat FTE'!X$121</f>
        <v>0</v>
      </c>
      <c r="Y68" s="115">
        <f>'[8]FY20 Initial Budget Allocat (2)'!Y68/'FY20 Initial Budget Allocat FTE'!Y$121</f>
        <v>0</v>
      </c>
      <c r="Z68" s="115">
        <f>'[8]FY20 Initial Budget Allocat (2)'!Z68/'FY20 Initial Budget Allocat FTE'!Z$121</f>
        <v>0</v>
      </c>
      <c r="AA68" s="115">
        <f>'[8]FY20 Initial Budget Allocat (2)'!AA68/'FY20 Initial Budget Allocat FTE'!AA$121</f>
        <v>0</v>
      </c>
      <c r="AB68" s="115">
        <f>'[8]FY20 Initial Budget Allocat (2)'!AB68/'FY20 Initial Budget Allocat FTE'!AB$121</f>
        <v>0</v>
      </c>
      <c r="AC68" s="115">
        <f>'[8]FY20 Initial Budget Allocat (2)'!AC68/'FY20 Initial Budget Allocat FTE'!AC$121</f>
        <v>0</v>
      </c>
      <c r="AD68" s="115">
        <f>'[8]FY20 Initial Budget Allocat (2)'!AD68/'FY20 Initial Budget Allocat FTE'!AD$121</f>
        <v>0</v>
      </c>
      <c r="AE68" s="115">
        <f>'[8]FY20 Initial Budget Allocat (2)'!AE68/'FY20 Initial Budget Allocat FTE'!AE$121</f>
        <v>0</v>
      </c>
      <c r="AF68" s="115">
        <f>'[8]FY20 Initial Budget Allocat (2)'!AF68/'FY20 Initial Budget Allocat FTE'!AF$121</f>
        <v>0</v>
      </c>
      <c r="AG68" s="115">
        <f>'[8]FY20 Initial Budget Allocat (2)'!AG68/'FY20 Initial Budget Allocat FTE'!AG$121</f>
        <v>0</v>
      </c>
      <c r="AH68" s="115">
        <f>'[8]FY20 Initial Budget Allocat (2)'!AH68/'FY20 Initial Budget Allocat FTE'!AH$121</f>
        <v>0</v>
      </c>
      <c r="AI68" s="115">
        <f>'[8]FY20 Initial Budget Allocat (2)'!AI68/'FY20 Initial Budget Allocat FTE'!AI$121</f>
        <v>0</v>
      </c>
      <c r="AJ68" s="115">
        <f>'[8]FY20 Initial Budget Allocat (2)'!AJ68/'FY20 Initial Budget Allocat FTE'!AJ$121</f>
        <v>0</v>
      </c>
      <c r="AK68" s="115">
        <f>'[8]FY20 Initial Budget Allocat (2)'!AK68/'FY20 Initial Budget Allocat FTE'!AK$121</f>
        <v>0</v>
      </c>
      <c r="AL68" s="115">
        <f>'[8]FY20 Initial Budget Allocat (2)'!AL68/'FY20 Initial Budget Allocat FTE'!AL$121</f>
        <v>0</v>
      </c>
      <c r="AM68" s="115">
        <f>'[8]FY20 Initial Budget Allocat (2)'!AM68/'FY20 Initial Budget Allocat FTE'!AM$121</f>
        <v>0</v>
      </c>
      <c r="AN68" s="115">
        <f>'[8]FY20 Initial Budget Allocat (2)'!AN68/'FY20 Initial Budget Allocat FTE'!AN$121</f>
        <v>3.5</v>
      </c>
      <c r="AO68" s="115">
        <f>'[8]FY20 Initial Budget Allocat (2)'!AO68/'FY20 Initial Budget Allocat FTE'!AO$121</f>
        <v>3.2000000000000006</v>
      </c>
      <c r="AP68" s="115">
        <f>'[8]FY20 Initial Budget Allocat (2)'!AP68/'FY20 Initial Budget Allocat FTE'!AP$121</f>
        <v>3.6</v>
      </c>
      <c r="AQ68" s="115">
        <f>'[8]FY20 Initial Budget Allocat (2)'!AQ68/'FY20 Initial Budget Allocat FTE'!AQ$121</f>
        <v>0</v>
      </c>
      <c r="AR68" s="115">
        <f>'[8]FY20 Initial Budget Allocat (2)'!AR68/'FY20 Initial Budget Allocat FTE'!AR$121</f>
        <v>0</v>
      </c>
      <c r="AS68" s="115">
        <f>'[8]FY20 Initial Budget Allocat (2)'!AS68/'FY20 Initial Budget Allocat FTE'!AS$121</f>
        <v>0</v>
      </c>
      <c r="AT68" s="115">
        <f>'[8]FY20 Initial Budget Allocat (2)'!AT68/'FY20 Initial Budget Allocat FTE'!AT$121</f>
        <v>0</v>
      </c>
      <c r="AU68" s="115">
        <f>'[8]FY20 Initial Budget Allocat (2)'!AU68/'FY20 Initial Budget Allocat FTE'!AU$121</f>
        <v>0</v>
      </c>
      <c r="AV68" s="115">
        <f>'[8]FY20 Initial Budget Allocat (2)'!AV68/'FY20 Initial Budget Allocat FTE'!AV$121</f>
        <v>0</v>
      </c>
      <c r="AW68" s="115">
        <f>'[8]FY20 Initial Budget Allocat (2)'!AW68/'FY20 Initial Budget Allocat FTE'!AW$121</f>
        <v>0</v>
      </c>
      <c r="AX68" s="115">
        <f>'[8]FY20 Initial Budget Allocat (2)'!AX68/'FY20 Initial Budget Allocat FTE'!AX$121</f>
        <v>1</v>
      </c>
      <c r="AY68" s="115">
        <f>'[8]FY20 Initial Budget Allocat (2)'!AY68/'FY20 Initial Budget Allocat FTE'!AY$121</f>
        <v>3.0000000000000004</v>
      </c>
      <c r="AZ68" s="115">
        <f>'[8]FY20 Initial Budget Allocat (2)'!AZ68/'FY20 Initial Budget Allocat FTE'!AZ$121</f>
        <v>6.0000000000000009</v>
      </c>
      <c r="BA68" s="115">
        <f>'[8]FY20 Initial Budget Allocat (2)'!BA68/'FY20 Initial Budget Allocat FTE'!BA$121</f>
        <v>3</v>
      </c>
      <c r="BB68" s="115">
        <f>'[8]FY20 Initial Budget Allocat (2)'!BB68/'FY20 Initial Budget Allocat FTE'!BB$121</f>
        <v>2</v>
      </c>
      <c r="BC68" s="115">
        <f>'[8]FY20 Initial Budget Allocat (2)'!BC68/'FY20 Initial Budget Allocat FTE'!BC$121</f>
        <v>0</v>
      </c>
      <c r="BD68" s="115">
        <f>'[8]FY20 Initial Budget Allocat (2)'!BD68/'FY20 Initial Budget Allocat FTE'!BD$121</f>
        <v>0.40909090909090906</v>
      </c>
      <c r="BE68" s="115">
        <f>'[8]FY20 Initial Budget Allocat (2)'!BE68/'FY20 Initial Budget Allocat FTE'!BE$121</f>
        <v>0</v>
      </c>
      <c r="BF68" s="115">
        <f>'[8]FY20 Initial Budget Allocat (2)'!BF68/'FY20 Initial Budget Allocat FTE'!BF$121</f>
        <v>0</v>
      </c>
      <c r="BG68" s="115">
        <f>'[8]FY20 Initial Budget Allocat (2)'!BG68/'FY20 Initial Budget Allocat FTE'!BG$121</f>
        <v>0</v>
      </c>
      <c r="BH68" s="115">
        <f>'[8]FY20 Initial Budget Allocat (2)'!BH68/'FY20 Initial Budget Allocat FTE'!BH$121</f>
        <v>0</v>
      </c>
      <c r="BI68" s="115">
        <f>'[8]FY20 Initial Budget Allocat (2)'!BI68/'FY20 Initial Budget Allocat FTE'!BI$121</f>
        <v>0</v>
      </c>
      <c r="BJ68" s="79"/>
      <c r="BK68" s="79">
        <v>0</v>
      </c>
      <c r="BL68" s="79"/>
      <c r="BM68" s="79">
        <v>79701.08</v>
      </c>
      <c r="BN68" s="79">
        <v>1268.25</v>
      </c>
      <c r="BO68" s="79">
        <v>0</v>
      </c>
      <c r="BP68" s="115">
        <f>'[8]FY20 Initial Budget Allocat (2)'!BP68/'FY20 Initial Budget Allocat FTE'!BP$121</f>
        <v>0</v>
      </c>
      <c r="BQ68" s="115">
        <f>'[8]FY20 Initial Budget Allocat (2)'!BQ68/'FY20 Initial Budget Allocat FTE'!BQ$121</f>
        <v>0</v>
      </c>
      <c r="BR68" s="115">
        <f>'[8]FY20 Initial Budget Allocat (2)'!BR68/'FY20 Initial Budget Allocat FTE'!BR$121</f>
        <v>0</v>
      </c>
      <c r="BS68" s="115">
        <f>'[8]FY20 Initial Budget Allocat (2)'!BS68/'FY20 Initial Budget Allocat FTE'!BS$121</f>
        <v>0</v>
      </c>
      <c r="BT68" s="115">
        <f>'[8]FY20 Initial Budget Allocat (2)'!BT68/'FY20 Initial Budget Allocat FTE'!BT$121</f>
        <v>0</v>
      </c>
      <c r="BU68" s="115">
        <f>'[8]FY20 Initial Budget Allocat (2)'!BU68/'FY20 Initial Budget Allocat FTE'!BU$121</f>
        <v>0</v>
      </c>
      <c r="BV68" s="115">
        <f>'[8]FY20 Initial Budget Allocat (2)'!BV68/'FY20 Initial Budget Allocat FTE'!BV$121</f>
        <v>0</v>
      </c>
      <c r="BW68" s="80">
        <v>0</v>
      </c>
      <c r="BX68" s="80">
        <v>0</v>
      </c>
      <c r="BY68" s="80">
        <v>0</v>
      </c>
      <c r="BZ68" s="80">
        <v>0</v>
      </c>
      <c r="CA68" s="115">
        <f>'[8]FY20 Initial Budget Allocat (2)'!CA68/'FY20 Initial Budget Allocat FTE'!CA$121</f>
        <v>0</v>
      </c>
      <c r="CB68" s="115">
        <f>'[8]FY20 Initial Budget Allocat (2)'!CB68/'FY20 Initial Budget Allocat FTE'!CB$121</f>
        <v>0</v>
      </c>
      <c r="CC68" s="80">
        <v>0</v>
      </c>
      <c r="CD68" s="115">
        <f>'[8]FY20 Initial Budget Allocat (2)'!CD68/'FY20 Initial Budget Allocat FTE'!CD$121</f>
        <v>0</v>
      </c>
      <c r="CE68" s="115">
        <f>'[8]FY20 Initial Budget Allocat (2)'!CE68/'FY20 Initial Budget Allocat FTE'!CE$121</f>
        <v>0</v>
      </c>
      <c r="CF68" s="115">
        <f>'[8]FY20 Initial Budget Allocat (2)'!CF68/'FY20 Initial Budget Allocat FTE'!CF$121</f>
        <v>0</v>
      </c>
      <c r="CG68" s="115">
        <f>'[8]FY20 Initial Budget Allocat (2)'!CG68/'FY20 Initial Budget Allocat FTE'!CG$121</f>
        <v>0</v>
      </c>
      <c r="CH68" s="115">
        <f>'[8]FY20 Initial Budget Allocat (2)'!CH68/'FY20 Initial Budget Allocat FTE'!CH$121</f>
        <v>0</v>
      </c>
      <c r="CI68" s="115">
        <f>'[8]FY20 Initial Budget Allocat (2)'!CI68/'FY20 Initial Budget Allocat FTE'!CI$121</f>
        <v>2</v>
      </c>
      <c r="CJ68" s="115">
        <f>'[8]FY20 Initial Budget Allocat (2)'!CJ68/'FY20 Initial Budget Allocat FTE'!CJ$121</f>
        <v>0</v>
      </c>
      <c r="CK68" s="79">
        <v>23000</v>
      </c>
      <c r="CL68" s="79">
        <v>5000</v>
      </c>
      <c r="CM68" s="79">
        <v>227444.6</v>
      </c>
      <c r="CN68" s="79">
        <v>100000</v>
      </c>
      <c r="CO68" s="115">
        <f>'[8]FY20 Initial Budget Allocat (2)'!CO68/'FY20 Initial Budget Allocat FTE'!CO$121</f>
        <v>0</v>
      </c>
      <c r="CP68" s="79">
        <v>0</v>
      </c>
      <c r="CQ68" s="79">
        <v>2853.303167420815</v>
      </c>
      <c r="CR68" s="79">
        <v>0</v>
      </c>
      <c r="CS68" s="79">
        <v>20207.400000000001</v>
      </c>
      <c r="CT68" s="115">
        <f>'[8]FY20 Initial Budget Allocat (2)'!CT68/'FY20 Initial Budget Allocat FTE'!CT$121</f>
        <v>0</v>
      </c>
      <c r="CU68" s="115">
        <f>'[8]FY20 Initial Budget Allocat (2)'!CU68/'FY20 Initial Budget Allocat FTE'!CU$121</f>
        <v>0</v>
      </c>
      <c r="CV68" s="79"/>
      <c r="CW68" s="79">
        <v>0</v>
      </c>
      <c r="CX68" s="115">
        <f>'[8]FY20 Initial Budget Allocat (2)'!CX68/'FY20 Initial Budget Allocat FTE'!CX$121</f>
        <v>0</v>
      </c>
      <c r="CY68" s="79">
        <v>0</v>
      </c>
      <c r="CZ68" s="79">
        <v>0</v>
      </c>
      <c r="DA68" s="79">
        <v>22700</v>
      </c>
      <c r="DB68" s="79">
        <v>59752.534231211139</v>
      </c>
      <c r="DC68" s="82">
        <v>0</v>
      </c>
      <c r="DD68" s="79">
        <v>0</v>
      </c>
      <c r="DE68" s="79"/>
      <c r="DF68" s="79">
        <v>38150</v>
      </c>
      <c r="DG68" s="79">
        <v>0</v>
      </c>
      <c r="DH68" s="83">
        <v>0</v>
      </c>
      <c r="DI68" s="79">
        <v>18464.381926376751</v>
      </c>
      <c r="DJ68" s="79">
        <v>4191414.6972875232</v>
      </c>
      <c r="DK68" s="84">
        <v>-0.29728752328082919</v>
      </c>
      <c r="DL68" s="84">
        <v>51775.53</v>
      </c>
      <c r="DM68" s="84">
        <f t="shared" ref="DM68:DM119" si="6">SUM(DJ68:DL68)</f>
        <v>4243189.93</v>
      </c>
      <c r="DN68" s="116">
        <f t="shared" ref="DN68:DN119" si="7">SUM(AA68,AC68,AE68,AG68,)</f>
        <v>0</v>
      </c>
      <c r="DO68" s="116">
        <f t="shared" ref="DO68:DO119" si="8">SUM(AB68,AD68,AF68,AH68)</f>
        <v>0</v>
      </c>
      <c r="DP68" s="116">
        <f t="shared" ref="DP68:DP119" si="9">SUM(AI68:AW68)</f>
        <v>10.3</v>
      </c>
      <c r="DQ68" s="116">
        <f t="shared" ref="DQ68:DQ119" si="10">SUM(AX68:AZ68,BD68,BF68)</f>
        <v>10.409090909090908</v>
      </c>
      <c r="DR68" s="116">
        <f t="shared" ref="DR68:DR119" si="11">SUM(BA68,BE68)</f>
        <v>3</v>
      </c>
    </row>
    <row r="69" spans="1:122" x14ac:dyDescent="0.25">
      <c r="A69" s="76">
        <v>458</v>
      </c>
      <c r="B69" s="76" t="s">
        <v>208</v>
      </c>
      <c r="C69" s="77" t="s">
        <v>138</v>
      </c>
      <c r="D69" s="41">
        <v>5</v>
      </c>
      <c r="E69" s="78">
        <v>670</v>
      </c>
      <c r="F69" s="78">
        <v>269.27386541471049</v>
      </c>
      <c r="G69" s="115">
        <f>'[8]FY20 Initial Budget Allocat (2)'!G69/'FY20 Initial Budget Allocat FTE'!G$121</f>
        <v>0.5</v>
      </c>
      <c r="H69" s="115">
        <f>'[8]FY20 Initial Budget Allocat (2)'!H69/'FY20 Initial Budget Allocat FTE'!H$121</f>
        <v>1</v>
      </c>
      <c r="I69" s="115">
        <f>'[8]FY20 Initial Budget Allocat (2)'!I69/'FY20 Initial Budget Allocat FTE'!I$121</f>
        <v>2.2000000000000002</v>
      </c>
      <c r="J69" s="115">
        <f>'[8]FY20 Initial Budget Allocat (2)'!J69/'FY20 Initial Budget Allocat FTE'!J$121</f>
        <v>0</v>
      </c>
      <c r="K69" s="115">
        <f>'[8]FY20 Initial Budget Allocat (2)'!K69/'FY20 Initial Budget Allocat FTE'!K$121</f>
        <v>2.9999897203226289</v>
      </c>
      <c r="L69" s="115">
        <f>'[8]FY20 Initial Budget Allocat (2)'!L69/'FY20 Initial Budget Allocat FTE'!L$121</f>
        <v>1</v>
      </c>
      <c r="M69" s="115">
        <f>'[8]FY20 Initial Budget Allocat (2)'!M69/'FY20 Initial Budget Allocat FTE'!M$121</f>
        <v>1</v>
      </c>
      <c r="N69" s="115">
        <f>'[8]FY20 Initial Budget Allocat (2)'!N69/'FY20 Initial Budget Allocat FTE'!N$121</f>
        <v>1.7</v>
      </c>
      <c r="O69" s="115">
        <f>'[8]FY20 Initial Budget Allocat (2)'!O69/'FY20 Initial Budget Allocat FTE'!O$121</f>
        <v>1</v>
      </c>
      <c r="P69" s="115">
        <f>'[8]FY20 Initial Budget Allocat (2)'!P69/'FY20 Initial Budget Allocat FTE'!P$121</f>
        <v>1</v>
      </c>
      <c r="Q69" s="115">
        <f>'[8]FY20 Initial Budget Allocat (2)'!Q69/'FY20 Initial Budget Allocat FTE'!Q$121</f>
        <v>0</v>
      </c>
      <c r="R69" s="115">
        <f>'[8]FY20 Initial Budget Allocat (2)'!R69/'FY20 Initial Budget Allocat FTE'!R$121</f>
        <v>1</v>
      </c>
      <c r="S69" s="115">
        <f>'[8]FY20 Initial Budget Allocat (2)'!S69/'FY20 Initial Budget Allocat FTE'!S$121</f>
        <v>1</v>
      </c>
      <c r="T69" s="115">
        <f>'[8]FY20 Initial Budget Allocat (2)'!T69/'FY20 Initial Budget Allocat FTE'!T$121</f>
        <v>6</v>
      </c>
      <c r="U69" s="115">
        <f>'[8]FY20 Initial Budget Allocat (2)'!U69/'FY20 Initial Budget Allocat FTE'!U$121</f>
        <v>1</v>
      </c>
      <c r="V69" s="115">
        <f>'[8]FY20 Initial Budget Allocat (2)'!V69/'FY20 Initial Budget Allocat FTE'!V$121</f>
        <v>0</v>
      </c>
      <c r="W69" s="115">
        <f>'[8]FY20 Initial Budget Allocat (2)'!W69/'FY20 Initial Budget Allocat FTE'!W$121</f>
        <v>0</v>
      </c>
      <c r="X69" s="115">
        <f>'[8]FY20 Initial Budget Allocat (2)'!X69/'FY20 Initial Budget Allocat FTE'!X$121</f>
        <v>0</v>
      </c>
      <c r="Y69" s="115">
        <f>'[8]FY20 Initial Budget Allocat (2)'!Y69/'FY20 Initial Budget Allocat FTE'!Y$121</f>
        <v>0</v>
      </c>
      <c r="Z69" s="115">
        <f>'[8]FY20 Initial Budget Allocat (2)'!Z69/'FY20 Initial Budget Allocat FTE'!Z$121</f>
        <v>0</v>
      </c>
      <c r="AA69" s="115">
        <f>'[8]FY20 Initial Budget Allocat (2)'!AA69/'FY20 Initial Budget Allocat FTE'!AA$121</f>
        <v>0</v>
      </c>
      <c r="AB69" s="115">
        <f>'[8]FY20 Initial Budget Allocat (2)'!AB69/'FY20 Initial Budget Allocat FTE'!AB$121</f>
        <v>0</v>
      </c>
      <c r="AC69" s="115">
        <f>'[8]FY20 Initial Budget Allocat (2)'!AC69/'FY20 Initial Budget Allocat FTE'!AC$121</f>
        <v>0</v>
      </c>
      <c r="AD69" s="115">
        <f>'[8]FY20 Initial Budget Allocat (2)'!AD69/'FY20 Initial Budget Allocat FTE'!AD$121</f>
        <v>0</v>
      </c>
      <c r="AE69" s="115">
        <f>'[8]FY20 Initial Budget Allocat (2)'!AE69/'FY20 Initial Budget Allocat FTE'!AE$121</f>
        <v>0</v>
      </c>
      <c r="AF69" s="115">
        <f>'[8]FY20 Initial Budget Allocat (2)'!AF69/'FY20 Initial Budget Allocat FTE'!AF$121</f>
        <v>0</v>
      </c>
      <c r="AG69" s="115">
        <f>'[8]FY20 Initial Budget Allocat (2)'!AG69/'FY20 Initial Budget Allocat FTE'!AG$121</f>
        <v>0</v>
      </c>
      <c r="AH69" s="115">
        <f>'[8]FY20 Initial Budget Allocat (2)'!AH69/'FY20 Initial Budget Allocat FTE'!AH$121</f>
        <v>0</v>
      </c>
      <c r="AI69" s="115">
        <f>'[8]FY20 Initial Budget Allocat (2)'!AI69/'FY20 Initial Budget Allocat FTE'!AI$121</f>
        <v>0</v>
      </c>
      <c r="AJ69" s="115">
        <f>'[8]FY20 Initial Budget Allocat (2)'!AJ69/'FY20 Initial Budget Allocat FTE'!AJ$121</f>
        <v>0</v>
      </c>
      <c r="AK69" s="115">
        <f>'[8]FY20 Initial Budget Allocat (2)'!AK69/'FY20 Initial Budget Allocat FTE'!AK$121</f>
        <v>0</v>
      </c>
      <c r="AL69" s="115">
        <f>'[8]FY20 Initial Budget Allocat (2)'!AL69/'FY20 Initial Budget Allocat FTE'!AL$121</f>
        <v>0</v>
      </c>
      <c r="AM69" s="115">
        <f>'[8]FY20 Initial Budget Allocat (2)'!AM69/'FY20 Initial Budget Allocat FTE'!AM$121</f>
        <v>0</v>
      </c>
      <c r="AN69" s="115">
        <f>'[8]FY20 Initial Budget Allocat (2)'!AN69/'FY20 Initial Budget Allocat FTE'!AN$121</f>
        <v>0</v>
      </c>
      <c r="AO69" s="115">
        <f>'[8]FY20 Initial Budget Allocat (2)'!AO69/'FY20 Initial Budget Allocat FTE'!AO$121</f>
        <v>0</v>
      </c>
      <c r="AP69" s="115">
        <f>'[8]FY20 Initial Budget Allocat (2)'!AP69/'FY20 Initial Budget Allocat FTE'!AP$121</f>
        <v>0</v>
      </c>
      <c r="AQ69" s="115">
        <f>'[8]FY20 Initial Budget Allocat (2)'!AQ69/'FY20 Initial Budget Allocat FTE'!AQ$121</f>
        <v>9</v>
      </c>
      <c r="AR69" s="115">
        <f>'[8]FY20 Initial Budget Allocat (2)'!AR69/'FY20 Initial Budget Allocat FTE'!AR$121</f>
        <v>7.3</v>
      </c>
      <c r="AS69" s="115">
        <f>'[8]FY20 Initial Budget Allocat (2)'!AS69/'FY20 Initial Budget Allocat FTE'!AS$121</f>
        <v>6.3</v>
      </c>
      <c r="AT69" s="115">
        <f>'[8]FY20 Initial Budget Allocat (2)'!AT69/'FY20 Initial Budget Allocat FTE'!AT$121</f>
        <v>5.3</v>
      </c>
      <c r="AU69" s="115">
        <f>'[8]FY20 Initial Budget Allocat (2)'!AU69/'FY20 Initial Budget Allocat FTE'!AU$121</f>
        <v>0</v>
      </c>
      <c r="AV69" s="115">
        <f>'[8]FY20 Initial Budget Allocat (2)'!AV69/'FY20 Initial Budget Allocat FTE'!AV$121</f>
        <v>0</v>
      </c>
      <c r="AW69" s="115">
        <f>'[8]FY20 Initial Budget Allocat (2)'!AW69/'FY20 Initial Budget Allocat FTE'!AW$121</f>
        <v>0</v>
      </c>
      <c r="AX69" s="115">
        <f>'[8]FY20 Initial Budget Allocat (2)'!AX69/'FY20 Initial Budget Allocat FTE'!AX$121</f>
        <v>1</v>
      </c>
      <c r="AY69" s="115">
        <f>'[8]FY20 Initial Budget Allocat (2)'!AY69/'FY20 Initial Budget Allocat FTE'!AY$121</f>
        <v>2</v>
      </c>
      <c r="AZ69" s="115">
        <f>'[8]FY20 Initial Budget Allocat (2)'!AZ69/'FY20 Initial Budget Allocat FTE'!AZ$121</f>
        <v>2</v>
      </c>
      <c r="BA69" s="115">
        <f>'[8]FY20 Initial Budget Allocat (2)'!BA69/'FY20 Initial Budget Allocat FTE'!BA$121</f>
        <v>0</v>
      </c>
      <c r="BB69" s="115">
        <f>'[8]FY20 Initial Budget Allocat (2)'!BB69/'FY20 Initial Budget Allocat FTE'!BB$121</f>
        <v>0</v>
      </c>
      <c r="BC69" s="115">
        <f>'[8]FY20 Initial Budget Allocat (2)'!BC69/'FY20 Initial Budget Allocat FTE'!BC$121</f>
        <v>0</v>
      </c>
      <c r="BD69" s="115">
        <f>'[8]FY20 Initial Budget Allocat (2)'!BD69/'FY20 Initial Budget Allocat FTE'!BD$121</f>
        <v>1</v>
      </c>
      <c r="BE69" s="115">
        <f>'[8]FY20 Initial Budget Allocat (2)'!BE69/'FY20 Initial Budget Allocat FTE'!BE$121</f>
        <v>0</v>
      </c>
      <c r="BF69" s="115">
        <f>'[8]FY20 Initial Budget Allocat (2)'!BF69/'FY20 Initial Budget Allocat FTE'!BF$121</f>
        <v>0</v>
      </c>
      <c r="BG69" s="115">
        <f>'[8]FY20 Initial Budget Allocat (2)'!BG69/'FY20 Initial Budget Allocat FTE'!BG$121</f>
        <v>0</v>
      </c>
      <c r="BH69" s="115">
        <f>'[8]FY20 Initial Budget Allocat (2)'!BH69/'FY20 Initial Budget Allocat FTE'!BH$121</f>
        <v>0</v>
      </c>
      <c r="BI69" s="115">
        <f>'[8]FY20 Initial Budget Allocat (2)'!BI69/'FY20 Initial Budget Allocat FTE'!BI$121</f>
        <v>0</v>
      </c>
      <c r="BJ69" s="79"/>
      <c r="BK69" s="79">
        <v>0</v>
      </c>
      <c r="BL69" s="79"/>
      <c r="BM69" s="79">
        <v>205040.13</v>
      </c>
      <c r="BN69" s="79">
        <v>3262.72</v>
      </c>
      <c r="BO69" s="79">
        <v>0</v>
      </c>
      <c r="BP69" s="115">
        <f>'[8]FY20 Initial Budget Allocat (2)'!BP69/'FY20 Initial Budget Allocat FTE'!BP$121</f>
        <v>0</v>
      </c>
      <c r="BQ69" s="115">
        <f>'[8]FY20 Initial Budget Allocat (2)'!BQ69/'FY20 Initial Budget Allocat FTE'!BQ$121</f>
        <v>0</v>
      </c>
      <c r="BR69" s="115">
        <f>'[8]FY20 Initial Budget Allocat (2)'!BR69/'FY20 Initial Budget Allocat FTE'!BR$121</f>
        <v>0</v>
      </c>
      <c r="BS69" s="115">
        <f>'[8]FY20 Initial Budget Allocat (2)'!BS69/'FY20 Initial Budget Allocat FTE'!BS$121</f>
        <v>0</v>
      </c>
      <c r="BT69" s="115">
        <f>'[8]FY20 Initial Budget Allocat (2)'!BT69/'FY20 Initial Budget Allocat FTE'!BT$121</f>
        <v>0</v>
      </c>
      <c r="BU69" s="115">
        <f>'[8]FY20 Initial Budget Allocat (2)'!BU69/'FY20 Initial Budget Allocat FTE'!BU$121</f>
        <v>0</v>
      </c>
      <c r="BV69" s="115">
        <f>'[8]FY20 Initial Budget Allocat (2)'!BV69/'FY20 Initial Budget Allocat FTE'!BV$121</f>
        <v>0</v>
      </c>
      <c r="BW69" s="80">
        <v>0</v>
      </c>
      <c r="BX69" s="80">
        <v>0</v>
      </c>
      <c r="BY69" s="80">
        <v>0</v>
      </c>
      <c r="BZ69" s="80">
        <v>90000</v>
      </c>
      <c r="CA69" s="115">
        <f>'[8]FY20 Initial Budget Allocat (2)'!CA69/'FY20 Initial Budget Allocat FTE'!CA$121</f>
        <v>0</v>
      </c>
      <c r="CB69" s="115">
        <f>'[8]FY20 Initial Budget Allocat (2)'!CB69/'FY20 Initial Budget Allocat FTE'!CB$121</f>
        <v>0</v>
      </c>
      <c r="CC69" s="80">
        <v>0</v>
      </c>
      <c r="CD69" s="115">
        <f>'[8]FY20 Initial Budget Allocat (2)'!CD69/'FY20 Initial Budget Allocat FTE'!CD$121</f>
        <v>2</v>
      </c>
      <c r="CE69" s="115">
        <f>'[8]FY20 Initial Budget Allocat (2)'!CE69/'FY20 Initial Budget Allocat FTE'!CE$121</f>
        <v>0</v>
      </c>
      <c r="CF69" s="115">
        <f>'[8]FY20 Initial Budget Allocat (2)'!CF69/'FY20 Initial Budget Allocat FTE'!CF$121</f>
        <v>3.6379726239079488</v>
      </c>
      <c r="CG69" s="115">
        <f>'[8]FY20 Initial Budget Allocat (2)'!CG69/'FY20 Initial Budget Allocat FTE'!CG$121</f>
        <v>0</v>
      </c>
      <c r="CH69" s="115">
        <f>'[8]FY20 Initial Budget Allocat (2)'!CH69/'FY20 Initial Budget Allocat FTE'!CH$121</f>
        <v>0</v>
      </c>
      <c r="CI69" s="115">
        <f>'[8]FY20 Initial Budget Allocat (2)'!CI69/'FY20 Initial Budget Allocat FTE'!CI$121</f>
        <v>0</v>
      </c>
      <c r="CJ69" s="115">
        <f>'[8]FY20 Initial Budget Allocat (2)'!CJ69/'FY20 Initial Budget Allocat FTE'!CJ$121</f>
        <v>0</v>
      </c>
      <c r="CK69" s="79">
        <v>0</v>
      </c>
      <c r="CL69" s="79">
        <v>0</v>
      </c>
      <c r="CM69" s="79">
        <v>430255.1</v>
      </c>
      <c r="CN69" s="79">
        <v>0</v>
      </c>
      <c r="CO69" s="115">
        <f>'[8]FY20 Initial Budget Allocat (2)'!CO69/'FY20 Initial Budget Allocat FTE'!CO$121</f>
        <v>1</v>
      </c>
      <c r="CP69" s="79">
        <v>0</v>
      </c>
      <c r="CQ69" s="79">
        <v>5385.4773082942102</v>
      </c>
      <c r="CR69" s="79">
        <v>0</v>
      </c>
      <c r="CS69" s="79">
        <v>92989.75</v>
      </c>
      <c r="CT69" s="115">
        <f>'[8]FY20 Initial Budget Allocat (2)'!CT69/'FY20 Initial Budget Allocat FTE'!CT$121</f>
        <v>0</v>
      </c>
      <c r="CU69" s="115">
        <f>'[8]FY20 Initial Budget Allocat (2)'!CU69/'FY20 Initial Budget Allocat FTE'!CU$121</f>
        <v>0</v>
      </c>
      <c r="CV69" s="79"/>
      <c r="CW69" s="79">
        <v>0</v>
      </c>
      <c r="CX69" s="115">
        <f>'[8]FY20 Initial Budget Allocat (2)'!CX69/'FY20 Initial Budget Allocat FTE'!CX$121</f>
        <v>0</v>
      </c>
      <c r="CY69" s="79">
        <v>0</v>
      </c>
      <c r="CZ69" s="79">
        <v>0</v>
      </c>
      <c r="DA69" s="79">
        <v>67000</v>
      </c>
      <c r="DB69" s="79">
        <v>88900.539604942605</v>
      </c>
      <c r="DC69" s="82">
        <v>0</v>
      </c>
      <c r="DD69" s="79">
        <v>1680585.0389999999</v>
      </c>
      <c r="DE69" s="79"/>
      <c r="DF69" s="79">
        <v>1050</v>
      </c>
      <c r="DG69" s="79">
        <v>0</v>
      </c>
      <c r="DH69" s="83">
        <v>0</v>
      </c>
      <c r="DI69" s="79">
        <v>13239.534260565451</v>
      </c>
      <c r="DJ69" s="79">
        <v>8870487.9545788504</v>
      </c>
      <c r="DK69" s="84">
        <v>-4.5788511633872986E-3</v>
      </c>
      <c r="DL69" s="84">
        <v>0</v>
      </c>
      <c r="DM69" s="84">
        <f t="shared" si="6"/>
        <v>8870487.9499999993</v>
      </c>
      <c r="DN69" s="116">
        <f t="shared" si="7"/>
        <v>0</v>
      </c>
      <c r="DO69" s="116">
        <f t="shared" si="8"/>
        <v>0</v>
      </c>
      <c r="DP69" s="116">
        <f t="shared" si="9"/>
        <v>27.900000000000002</v>
      </c>
      <c r="DQ69" s="116">
        <f t="shared" si="10"/>
        <v>6</v>
      </c>
      <c r="DR69" s="116">
        <f t="shared" si="11"/>
        <v>0</v>
      </c>
    </row>
    <row r="70" spans="1:122" x14ac:dyDescent="0.25">
      <c r="A70" s="76">
        <v>280</v>
      </c>
      <c r="B70" s="76" t="s">
        <v>209</v>
      </c>
      <c r="C70" s="77" t="s">
        <v>135</v>
      </c>
      <c r="D70" s="41">
        <v>6</v>
      </c>
      <c r="E70" s="78">
        <v>372</v>
      </c>
      <c r="F70" s="78">
        <v>268.59842519685043</v>
      </c>
      <c r="G70" s="115">
        <f>'[8]FY20 Initial Budget Allocat (2)'!G70/'FY20 Initial Budget Allocat FTE'!G$121</f>
        <v>1</v>
      </c>
      <c r="H70" s="115">
        <f>'[8]FY20 Initial Budget Allocat (2)'!H70/'FY20 Initial Budget Allocat FTE'!H$121</f>
        <v>1</v>
      </c>
      <c r="I70" s="115">
        <f>'[8]FY20 Initial Budget Allocat (2)'!I70/'FY20 Initial Budget Allocat FTE'!I$121</f>
        <v>0.9</v>
      </c>
      <c r="J70" s="115">
        <f>'[8]FY20 Initial Budget Allocat (2)'!J70/'FY20 Initial Budget Allocat FTE'!J$121</f>
        <v>0</v>
      </c>
      <c r="K70" s="115">
        <f>'[8]FY20 Initial Budget Allocat (2)'!K70/'FY20 Initial Budget Allocat FTE'!K$121</f>
        <v>0</v>
      </c>
      <c r="L70" s="115">
        <f>'[8]FY20 Initial Budget Allocat (2)'!L70/'FY20 Initial Budget Allocat FTE'!L$121</f>
        <v>1</v>
      </c>
      <c r="M70" s="115">
        <f>'[8]FY20 Initial Budget Allocat (2)'!M70/'FY20 Initial Budget Allocat FTE'!M$121</f>
        <v>1</v>
      </c>
      <c r="N70" s="115">
        <f>'[8]FY20 Initial Budget Allocat (2)'!N70/'FY20 Initial Budget Allocat FTE'!N$121</f>
        <v>0</v>
      </c>
      <c r="O70" s="115">
        <f>'[8]FY20 Initial Budget Allocat (2)'!O70/'FY20 Initial Budget Allocat FTE'!O$121</f>
        <v>0</v>
      </c>
      <c r="P70" s="115">
        <f>'[8]FY20 Initial Budget Allocat (2)'!P70/'FY20 Initial Budget Allocat FTE'!P$121</f>
        <v>0</v>
      </c>
      <c r="Q70" s="115">
        <f>'[8]FY20 Initial Budget Allocat (2)'!Q70/'FY20 Initial Budget Allocat FTE'!Q$121</f>
        <v>0</v>
      </c>
      <c r="R70" s="115">
        <f>'[8]FY20 Initial Budget Allocat (2)'!R70/'FY20 Initial Budget Allocat FTE'!R$121</f>
        <v>1</v>
      </c>
      <c r="S70" s="115">
        <f>'[8]FY20 Initial Budget Allocat (2)'!S70/'FY20 Initial Budget Allocat FTE'!S$121</f>
        <v>1</v>
      </c>
      <c r="T70" s="115">
        <f>'[8]FY20 Initial Budget Allocat (2)'!T70/'FY20 Initial Budget Allocat FTE'!T$121</f>
        <v>2</v>
      </c>
      <c r="U70" s="115">
        <f>'[8]FY20 Initial Budget Allocat (2)'!U70/'FY20 Initial Budget Allocat FTE'!U$121</f>
        <v>1</v>
      </c>
      <c r="V70" s="115">
        <f>'[8]FY20 Initial Budget Allocat (2)'!V70/'FY20 Initial Budget Allocat FTE'!V$121</f>
        <v>1</v>
      </c>
      <c r="W70" s="115">
        <f>'[8]FY20 Initial Budget Allocat (2)'!W70/'FY20 Initial Budget Allocat FTE'!W$121</f>
        <v>1</v>
      </c>
      <c r="X70" s="115">
        <f>'[8]FY20 Initial Budget Allocat (2)'!X70/'FY20 Initial Budget Allocat FTE'!X$121</f>
        <v>1</v>
      </c>
      <c r="Y70" s="115">
        <f>'[8]FY20 Initial Budget Allocat (2)'!Y70/'FY20 Initial Budget Allocat FTE'!Y$121</f>
        <v>0</v>
      </c>
      <c r="Z70" s="115">
        <f>'[8]FY20 Initial Budget Allocat (2)'!Z70/'FY20 Initial Budget Allocat FTE'!Z$121</f>
        <v>3.0000000000000004</v>
      </c>
      <c r="AA70" s="115">
        <f>'[8]FY20 Initial Budget Allocat (2)'!AA70/'FY20 Initial Budget Allocat FTE'!AA$121</f>
        <v>3.0000000000000004</v>
      </c>
      <c r="AB70" s="115">
        <f>'[8]FY20 Initial Budget Allocat (2)'!AB70/'FY20 Initial Budget Allocat FTE'!AB$121</f>
        <v>3</v>
      </c>
      <c r="AC70" s="115">
        <f>'[8]FY20 Initial Budget Allocat (2)'!AC70/'FY20 Initial Budget Allocat FTE'!AC$121</f>
        <v>1</v>
      </c>
      <c r="AD70" s="115">
        <f>'[8]FY20 Initial Budget Allocat (2)'!AD70/'FY20 Initial Budget Allocat FTE'!AD$121</f>
        <v>1</v>
      </c>
      <c r="AE70" s="115">
        <f>'[8]FY20 Initial Budget Allocat (2)'!AE70/'FY20 Initial Budget Allocat FTE'!AE$121</f>
        <v>4</v>
      </c>
      <c r="AF70" s="115">
        <f>'[8]FY20 Initial Budget Allocat (2)'!AF70/'FY20 Initial Budget Allocat FTE'!AF$121</f>
        <v>4</v>
      </c>
      <c r="AG70" s="115">
        <f>'[8]FY20 Initial Budget Allocat (2)'!AG70/'FY20 Initial Budget Allocat FTE'!AG$121</f>
        <v>3.0000000000000004</v>
      </c>
      <c r="AH70" s="115">
        <f>'[8]FY20 Initial Budget Allocat (2)'!AH70/'FY20 Initial Budget Allocat FTE'!AH$121</f>
        <v>3</v>
      </c>
      <c r="AI70" s="115">
        <f>'[8]FY20 Initial Budget Allocat (2)'!AI70/'FY20 Initial Budget Allocat FTE'!AI$121</f>
        <v>2</v>
      </c>
      <c r="AJ70" s="115">
        <f>'[8]FY20 Initial Budget Allocat (2)'!AJ70/'FY20 Initial Budget Allocat FTE'!AJ$121</f>
        <v>2</v>
      </c>
      <c r="AK70" s="115">
        <f>'[8]FY20 Initial Budget Allocat (2)'!AK70/'FY20 Initial Budget Allocat FTE'!AK$121</f>
        <v>2</v>
      </c>
      <c r="AL70" s="115">
        <f>'[8]FY20 Initial Budget Allocat (2)'!AL70/'FY20 Initial Budget Allocat FTE'!AL$121</f>
        <v>2</v>
      </c>
      <c r="AM70" s="115">
        <f>'[8]FY20 Initial Budget Allocat (2)'!AM70/'FY20 Initial Budget Allocat FTE'!AM$121</f>
        <v>2</v>
      </c>
      <c r="AN70" s="115">
        <f>'[8]FY20 Initial Budget Allocat (2)'!AN70/'FY20 Initial Budget Allocat FTE'!AN$121</f>
        <v>0</v>
      </c>
      <c r="AO70" s="115">
        <f>'[8]FY20 Initial Budget Allocat (2)'!AO70/'FY20 Initial Budget Allocat FTE'!AO$121</f>
        <v>0</v>
      </c>
      <c r="AP70" s="115">
        <f>'[8]FY20 Initial Budget Allocat (2)'!AP70/'FY20 Initial Budget Allocat FTE'!AP$121</f>
        <v>0</v>
      </c>
      <c r="AQ70" s="115">
        <f>'[8]FY20 Initial Budget Allocat (2)'!AQ70/'FY20 Initial Budget Allocat FTE'!AQ$121</f>
        <v>0</v>
      </c>
      <c r="AR70" s="115">
        <f>'[8]FY20 Initial Budget Allocat (2)'!AR70/'FY20 Initial Budget Allocat FTE'!AR$121</f>
        <v>0</v>
      </c>
      <c r="AS70" s="115">
        <f>'[8]FY20 Initial Budget Allocat (2)'!AS70/'FY20 Initial Budget Allocat FTE'!AS$121</f>
        <v>0</v>
      </c>
      <c r="AT70" s="115">
        <f>'[8]FY20 Initial Budget Allocat (2)'!AT70/'FY20 Initial Budget Allocat FTE'!AT$121</f>
        <v>0</v>
      </c>
      <c r="AU70" s="115">
        <f>'[8]FY20 Initial Budget Allocat (2)'!AU70/'FY20 Initial Budget Allocat FTE'!AU$121</f>
        <v>0</v>
      </c>
      <c r="AV70" s="115">
        <f>'[8]FY20 Initial Budget Allocat (2)'!AV70/'FY20 Initial Budget Allocat FTE'!AV$121</f>
        <v>0</v>
      </c>
      <c r="AW70" s="115">
        <f>'[8]FY20 Initial Budget Allocat (2)'!AW70/'FY20 Initial Budget Allocat FTE'!AW$121</f>
        <v>0</v>
      </c>
      <c r="AX70" s="115">
        <f>'[8]FY20 Initial Budget Allocat (2)'!AX70/'FY20 Initial Budget Allocat FTE'!AX$121</f>
        <v>0.96278093207161597</v>
      </c>
      <c r="AY70" s="115">
        <f>'[8]FY20 Initial Budget Allocat (2)'!AY70/'FY20 Initial Budget Allocat FTE'!AY$121</f>
        <v>2</v>
      </c>
      <c r="AZ70" s="115">
        <f>'[8]FY20 Initial Budget Allocat (2)'!AZ70/'FY20 Initial Budget Allocat FTE'!AZ$121</f>
        <v>8</v>
      </c>
      <c r="BA70" s="115">
        <f>'[8]FY20 Initial Budget Allocat (2)'!BA70/'FY20 Initial Budget Allocat FTE'!BA$121</f>
        <v>5</v>
      </c>
      <c r="BB70" s="115">
        <f>'[8]FY20 Initial Budget Allocat (2)'!BB70/'FY20 Initial Budget Allocat FTE'!BB$121</f>
        <v>0</v>
      </c>
      <c r="BC70" s="115">
        <f>'[8]FY20 Initial Budget Allocat (2)'!BC70/'FY20 Initial Budget Allocat FTE'!BC$121</f>
        <v>0</v>
      </c>
      <c r="BD70" s="115">
        <f>'[8]FY20 Initial Budget Allocat (2)'!BD70/'FY20 Initial Budget Allocat FTE'!BD$121</f>
        <v>1</v>
      </c>
      <c r="BE70" s="115">
        <f>'[8]FY20 Initial Budget Allocat (2)'!BE70/'FY20 Initial Budget Allocat FTE'!BE$121</f>
        <v>0</v>
      </c>
      <c r="BF70" s="115">
        <f>'[8]FY20 Initial Budget Allocat (2)'!BF70/'FY20 Initial Budget Allocat FTE'!BF$121</f>
        <v>0</v>
      </c>
      <c r="BG70" s="115">
        <f>'[8]FY20 Initial Budget Allocat (2)'!BG70/'FY20 Initial Budget Allocat FTE'!BG$121</f>
        <v>2.1252589375208819</v>
      </c>
      <c r="BH70" s="115">
        <f>'[8]FY20 Initial Budget Allocat (2)'!BH70/'FY20 Initial Budget Allocat FTE'!BH$121</f>
        <v>6</v>
      </c>
      <c r="BI70" s="115">
        <f>'[8]FY20 Initial Budget Allocat (2)'!BI70/'FY20 Initial Budget Allocat FTE'!BI$121</f>
        <v>1</v>
      </c>
      <c r="BJ70" s="79"/>
      <c r="BK70" s="79">
        <v>0</v>
      </c>
      <c r="BL70" s="79">
        <v>23194.2</v>
      </c>
      <c r="BM70" s="79">
        <v>161632.31</v>
      </c>
      <c r="BN70" s="79">
        <v>2571.9899999999998</v>
      </c>
      <c r="BO70" s="79">
        <v>0</v>
      </c>
      <c r="BP70" s="115">
        <f>'[8]FY20 Initial Budget Allocat (2)'!BP70/'FY20 Initial Budget Allocat FTE'!BP$121</f>
        <v>0</v>
      </c>
      <c r="BQ70" s="115">
        <f>'[8]FY20 Initial Budget Allocat (2)'!BQ70/'FY20 Initial Budget Allocat FTE'!BQ$121</f>
        <v>0</v>
      </c>
      <c r="BR70" s="115">
        <f>'[8]FY20 Initial Budget Allocat (2)'!BR70/'FY20 Initial Budget Allocat FTE'!BR$121</f>
        <v>0</v>
      </c>
      <c r="BS70" s="115">
        <f>'[8]FY20 Initial Budget Allocat (2)'!BS70/'FY20 Initial Budget Allocat FTE'!BS$121</f>
        <v>0</v>
      </c>
      <c r="BT70" s="115">
        <f>'[8]FY20 Initial Budget Allocat (2)'!BT70/'FY20 Initial Budget Allocat FTE'!BT$121</f>
        <v>0</v>
      </c>
      <c r="BU70" s="115">
        <f>'[8]FY20 Initial Budget Allocat (2)'!BU70/'FY20 Initial Budget Allocat FTE'!BU$121</f>
        <v>0</v>
      </c>
      <c r="BV70" s="115">
        <f>'[8]FY20 Initial Budget Allocat (2)'!BV70/'FY20 Initial Budget Allocat FTE'!BV$121</f>
        <v>0</v>
      </c>
      <c r="BW70" s="80">
        <v>0</v>
      </c>
      <c r="BX70" s="80">
        <v>0</v>
      </c>
      <c r="BY70" s="80">
        <v>0</v>
      </c>
      <c r="BZ70" s="80">
        <v>0</v>
      </c>
      <c r="CA70" s="115">
        <f>'[8]FY20 Initial Budget Allocat (2)'!CA70/'FY20 Initial Budget Allocat FTE'!CA$121</f>
        <v>0</v>
      </c>
      <c r="CB70" s="115">
        <f>'[8]FY20 Initial Budget Allocat (2)'!CB70/'FY20 Initial Budget Allocat FTE'!CB$121</f>
        <v>0</v>
      </c>
      <c r="CC70" s="80">
        <v>0</v>
      </c>
      <c r="CD70" s="115">
        <f>'[8]FY20 Initial Budget Allocat (2)'!CD70/'FY20 Initial Budget Allocat FTE'!CD$121</f>
        <v>0</v>
      </c>
      <c r="CE70" s="115">
        <f>'[8]FY20 Initial Budget Allocat (2)'!CE70/'FY20 Initial Budget Allocat FTE'!CE$121</f>
        <v>0</v>
      </c>
      <c r="CF70" s="115">
        <f>'[8]FY20 Initial Budget Allocat (2)'!CF70/'FY20 Initial Budget Allocat FTE'!CF$121</f>
        <v>0</v>
      </c>
      <c r="CG70" s="115">
        <f>'[8]FY20 Initial Budget Allocat (2)'!CG70/'FY20 Initial Budget Allocat FTE'!CG$121</f>
        <v>0</v>
      </c>
      <c r="CH70" s="115">
        <f>'[8]FY20 Initial Budget Allocat (2)'!CH70/'FY20 Initial Budget Allocat FTE'!CH$121</f>
        <v>0</v>
      </c>
      <c r="CI70" s="115">
        <f>'[8]FY20 Initial Budget Allocat (2)'!CI70/'FY20 Initial Budget Allocat FTE'!CI$121</f>
        <v>0</v>
      </c>
      <c r="CJ70" s="115">
        <f>'[8]FY20 Initial Budget Allocat (2)'!CJ70/'FY20 Initial Budget Allocat FTE'!CJ$121</f>
        <v>0</v>
      </c>
      <c r="CK70" s="79">
        <v>0</v>
      </c>
      <c r="CL70" s="79">
        <v>0</v>
      </c>
      <c r="CM70" s="79">
        <v>54082.8</v>
      </c>
      <c r="CN70" s="79">
        <v>0</v>
      </c>
      <c r="CO70" s="115">
        <f>'[8]FY20 Initial Budget Allocat (2)'!CO70/'FY20 Initial Budget Allocat FTE'!CO$121</f>
        <v>0</v>
      </c>
      <c r="CP70" s="79">
        <v>0</v>
      </c>
      <c r="CQ70" s="79">
        <v>5371.9685039370088</v>
      </c>
      <c r="CR70" s="79">
        <v>0</v>
      </c>
      <c r="CS70" s="79">
        <v>20494.618181818179</v>
      </c>
      <c r="CT70" s="115">
        <f>'[8]FY20 Initial Budget Allocat (2)'!CT70/'FY20 Initial Budget Allocat FTE'!CT$121</f>
        <v>0</v>
      </c>
      <c r="CU70" s="115">
        <f>'[8]FY20 Initial Budget Allocat (2)'!CU70/'FY20 Initial Budget Allocat FTE'!CU$121</f>
        <v>0</v>
      </c>
      <c r="CV70" s="79"/>
      <c r="CW70" s="79">
        <v>0</v>
      </c>
      <c r="CX70" s="115">
        <f>'[8]FY20 Initial Budget Allocat (2)'!CX70/'FY20 Initial Budget Allocat FTE'!CX$121</f>
        <v>0</v>
      </c>
      <c r="CY70" s="79">
        <v>0</v>
      </c>
      <c r="CZ70" s="79">
        <v>0</v>
      </c>
      <c r="DA70" s="79">
        <v>37200</v>
      </c>
      <c r="DB70" s="79">
        <v>91486.941495733568</v>
      </c>
      <c r="DC70" s="82">
        <v>0</v>
      </c>
      <c r="DD70" s="79">
        <v>0</v>
      </c>
      <c r="DE70" s="79"/>
      <c r="DF70" s="79">
        <v>21900</v>
      </c>
      <c r="DG70" s="79">
        <v>0</v>
      </c>
      <c r="DH70" s="83">
        <v>0</v>
      </c>
      <c r="DI70" s="79">
        <v>16541.616544689699</v>
      </c>
      <c r="DJ70" s="79">
        <v>6153481.3546245676</v>
      </c>
      <c r="DK70" s="84">
        <v>-4.6245679259300232E-3</v>
      </c>
      <c r="DL70" s="84">
        <v>0</v>
      </c>
      <c r="DM70" s="84">
        <f t="shared" si="6"/>
        <v>6153481.3499999996</v>
      </c>
      <c r="DN70" s="116">
        <f t="shared" si="7"/>
        <v>11</v>
      </c>
      <c r="DO70" s="116">
        <f t="shared" si="8"/>
        <v>11</v>
      </c>
      <c r="DP70" s="116">
        <f t="shared" si="9"/>
        <v>10</v>
      </c>
      <c r="DQ70" s="116">
        <f t="shared" si="10"/>
        <v>11.962780932071617</v>
      </c>
      <c r="DR70" s="116">
        <f t="shared" si="11"/>
        <v>5</v>
      </c>
    </row>
    <row r="71" spans="1:122" x14ac:dyDescent="0.25">
      <c r="A71" s="76">
        <v>285</v>
      </c>
      <c r="B71" s="76" t="s">
        <v>210</v>
      </c>
      <c r="C71" s="77" t="s">
        <v>135</v>
      </c>
      <c r="D71" s="41">
        <v>8</v>
      </c>
      <c r="E71" s="78">
        <v>311</v>
      </c>
      <c r="F71" s="78">
        <v>280.03110047846894</v>
      </c>
      <c r="G71" s="115">
        <f>'[8]FY20 Initial Budget Allocat (2)'!G71/'FY20 Initial Budget Allocat FTE'!G$121</f>
        <v>1</v>
      </c>
      <c r="H71" s="115">
        <f>'[8]FY20 Initial Budget Allocat (2)'!H71/'FY20 Initial Budget Allocat FTE'!H$121</f>
        <v>1</v>
      </c>
      <c r="I71" s="115">
        <f>'[8]FY20 Initial Budget Allocat (2)'!I71/'FY20 Initial Budget Allocat FTE'!I$121</f>
        <v>0.8</v>
      </c>
      <c r="J71" s="115">
        <f>'[8]FY20 Initial Budget Allocat (2)'!J71/'FY20 Initial Budget Allocat FTE'!J$121</f>
        <v>0</v>
      </c>
      <c r="K71" s="115">
        <f>'[8]FY20 Initial Budget Allocat (2)'!K71/'FY20 Initial Budget Allocat FTE'!K$121</f>
        <v>0</v>
      </c>
      <c r="L71" s="115">
        <f>'[8]FY20 Initial Budget Allocat (2)'!L71/'FY20 Initial Budget Allocat FTE'!L$121</f>
        <v>1</v>
      </c>
      <c r="M71" s="115">
        <f>'[8]FY20 Initial Budget Allocat (2)'!M71/'FY20 Initial Budget Allocat FTE'!M$121</f>
        <v>1</v>
      </c>
      <c r="N71" s="115">
        <f>'[8]FY20 Initial Budget Allocat (2)'!N71/'FY20 Initial Budget Allocat FTE'!N$121</f>
        <v>0</v>
      </c>
      <c r="O71" s="115">
        <f>'[8]FY20 Initial Budget Allocat (2)'!O71/'FY20 Initial Budget Allocat FTE'!O$121</f>
        <v>0</v>
      </c>
      <c r="P71" s="115">
        <f>'[8]FY20 Initial Budget Allocat (2)'!P71/'FY20 Initial Budget Allocat FTE'!P$121</f>
        <v>0</v>
      </c>
      <c r="Q71" s="115">
        <f>'[8]FY20 Initial Budget Allocat (2)'!Q71/'FY20 Initial Budget Allocat FTE'!Q$121</f>
        <v>0</v>
      </c>
      <c r="R71" s="115">
        <f>'[8]FY20 Initial Budget Allocat (2)'!R71/'FY20 Initial Budget Allocat FTE'!R$121</f>
        <v>1</v>
      </c>
      <c r="S71" s="115">
        <f>'[8]FY20 Initial Budget Allocat (2)'!S71/'FY20 Initial Budget Allocat FTE'!S$121</f>
        <v>1</v>
      </c>
      <c r="T71" s="115">
        <f>'[8]FY20 Initial Budget Allocat (2)'!T71/'FY20 Initial Budget Allocat FTE'!T$121</f>
        <v>2</v>
      </c>
      <c r="U71" s="115">
        <f>'[8]FY20 Initial Budget Allocat (2)'!U71/'FY20 Initial Budget Allocat FTE'!U$121</f>
        <v>1</v>
      </c>
      <c r="V71" s="115">
        <f>'[8]FY20 Initial Budget Allocat (2)'!V71/'FY20 Initial Budget Allocat FTE'!V$121</f>
        <v>1</v>
      </c>
      <c r="W71" s="115">
        <f>'[8]FY20 Initial Budget Allocat (2)'!W71/'FY20 Initial Budget Allocat FTE'!W$121</f>
        <v>1</v>
      </c>
      <c r="X71" s="115">
        <f>'[8]FY20 Initial Budget Allocat (2)'!X71/'FY20 Initial Budget Allocat FTE'!X$121</f>
        <v>1</v>
      </c>
      <c r="Y71" s="115">
        <f>'[8]FY20 Initial Budget Allocat (2)'!Y71/'FY20 Initial Budget Allocat FTE'!Y$121</f>
        <v>0</v>
      </c>
      <c r="Z71" s="115">
        <f>'[8]FY20 Initial Budget Allocat (2)'!Z71/'FY20 Initial Budget Allocat FTE'!Z$121</f>
        <v>0</v>
      </c>
      <c r="AA71" s="115">
        <f>'[8]FY20 Initial Budget Allocat (2)'!AA71/'FY20 Initial Budget Allocat FTE'!AA$121</f>
        <v>2</v>
      </c>
      <c r="AB71" s="115">
        <f>'[8]FY20 Initial Budget Allocat (2)'!AB71/'FY20 Initial Budget Allocat FTE'!AB$121</f>
        <v>2</v>
      </c>
      <c r="AC71" s="115">
        <f>'[8]FY20 Initial Budget Allocat (2)'!AC71/'FY20 Initial Budget Allocat FTE'!AC$121</f>
        <v>1</v>
      </c>
      <c r="AD71" s="115">
        <f>'[8]FY20 Initial Budget Allocat (2)'!AD71/'FY20 Initial Budget Allocat FTE'!AD$121</f>
        <v>1</v>
      </c>
      <c r="AE71" s="115">
        <f>'[8]FY20 Initial Budget Allocat (2)'!AE71/'FY20 Initial Budget Allocat FTE'!AE$121</f>
        <v>2</v>
      </c>
      <c r="AF71" s="115">
        <f>'[8]FY20 Initial Budget Allocat (2)'!AF71/'FY20 Initial Budget Allocat FTE'!AF$121</f>
        <v>2</v>
      </c>
      <c r="AG71" s="115">
        <f>'[8]FY20 Initial Budget Allocat (2)'!AG71/'FY20 Initial Budget Allocat FTE'!AG$121</f>
        <v>2</v>
      </c>
      <c r="AH71" s="115">
        <f>'[8]FY20 Initial Budget Allocat (2)'!AH71/'FY20 Initial Budget Allocat FTE'!AH$121</f>
        <v>2</v>
      </c>
      <c r="AI71" s="115">
        <f>'[8]FY20 Initial Budget Allocat (2)'!AI71/'FY20 Initial Budget Allocat FTE'!AI$121</f>
        <v>2</v>
      </c>
      <c r="AJ71" s="115">
        <f>'[8]FY20 Initial Budget Allocat (2)'!AJ71/'FY20 Initial Budget Allocat FTE'!AJ$121</f>
        <v>2</v>
      </c>
      <c r="AK71" s="115">
        <f>'[8]FY20 Initial Budget Allocat (2)'!AK71/'FY20 Initial Budget Allocat FTE'!AK$121</f>
        <v>2</v>
      </c>
      <c r="AL71" s="115">
        <f>'[8]FY20 Initial Budget Allocat (2)'!AL71/'FY20 Initial Budget Allocat FTE'!AL$121</f>
        <v>2</v>
      </c>
      <c r="AM71" s="115">
        <f>'[8]FY20 Initial Budget Allocat (2)'!AM71/'FY20 Initial Budget Allocat FTE'!AM$121</f>
        <v>2</v>
      </c>
      <c r="AN71" s="115">
        <f>'[8]FY20 Initial Budget Allocat (2)'!AN71/'FY20 Initial Budget Allocat FTE'!AN$121</f>
        <v>0</v>
      </c>
      <c r="AO71" s="115">
        <f>'[8]FY20 Initial Budget Allocat (2)'!AO71/'FY20 Initial Budget Allocat FTE'!AO$121</f>
        <v>0</v>
      </c>
      <c r="AP71" s="115">
        <f>'[8]FY20 Initial Budget Allocat (2)'!AP71/'FY20 Initial Budget Allocat FTE'!AP$121</f>
        <v>0</v>
      </c>
      <c r="AQ71" s="115">
        <f>'[8]FY20 Initial Budget Allocat (2)'!AQ71/'FY20 Initial Budget Allocat FTE'!AQ$121</f>
        <v>0</v>
      </c>
      <c r="AR71" s="115">
        <f>'[8]FY20 Initial Budget Allocat (2)'!AR71/'FY20 Initial Budget Allocat FTE'!AR$121</f>
        <v>0</v>
      </c>
      <c r="AS71" s="115">
        <f>'[8]FY20 Initial Budget Allocat (2)'!AS71/'FY20 Initial Budget Allocat FTE'!AS$121</f>
        <v>0</v>
      </c>
      <c r="AT71" s="115">
        <f>'[8]FY20 Initial Budget Allocat (2)'!AT71/'FY20 Initial Budget Allocat FTE'!AT$121</f>
        <v>0</v>
      </c>
      <c r="AU71" s="115">
        <f>'[8]FY20 Initial Budget Allocat (2)'!AU71/'FY20 Initial Budget Allocat FTE'!AU$121</f>
        <v>0</v>
      </c>
      <c r="AV71" s="115">
        <f>'[8]FY20 Initial Budget Allocat (2)'!AV71/'FY20 Initial Budget Allocat FTE'!AV$121</f>
        <v>0</v>
      </c>
      <c r="AW71" s="115">
        <f>'[8]FY20 Initial Budget Allocat (2)'!AW71/'FY20 Initial Budget Allocat FTE'!AW$121</f>
        <v>0</v>
      </c>
      <c r="AX71" s="115">
        <f>'[8]FY20 Initial Budget Allocat (2)'!AX71/'FY20 Initial Budget Allocat FTE'!AX$121</f>
        <v>1</v>
      </c>
      <c r="AY71" s="115">
        <f>'[8]FY20 Initial Budget Allocat (2)'!AY71/'FY20 Initial Budget Allocat FTE'!AY$121</f>
        <v>2</v>
      </c>
      <c r="AZ71" s="115">
        <f>'[8]FY20 Initial Budget Allocat (2)'!AZ71/'FY20 Initial Budget Allocat FTE'!AZ$121</f>
        <v>4</v>
      </c>
      <c r="BA71" s="115">
        <f>'[8]FY20 Initial Budget Allocat (2)'!BA71/'FY20 Initial Budget Allocat FTE'!BA$121</f>
        <v>2</v>
      </c>
      <c r="BB71" s="115">
        <f>'[8]FY20 Initial Budget Allocat (2)'!BB71/'FY20 Initial Budget Allocat FTE'!BB$121</f>
        <v>0</v>
      </c>
      <c r="BC71" s="115">
        <f>'[8]FY20 Initial Budget Allocat (2)'!BC71/'FY20 Initial Budget Allocat FTE'!BC$121</f>
        <v>0</v>
      </c>
      <c r="BD71" s="115">
        <f>'[8]FY20 Initial Budget Allocat (2)'!BD71/'FY20 Initial Budget Allocat FTE'!BD$121</f>
        <v>4.5454545454545456E-2</v>
      </c>
      <c r="BE71" s="115">
        <f>'[8]FY20 Initial Budget Allocat (2)'!BE71/'FY20 Initial Budget Allocat FTE'!BE$121</f>
        <v>0</v>
      </c>
      <c r="BF71" s="115">
        <f>'[8]FY20 Initial Budget Allocat (2)'!BF71/'FY20 Initial Budget Allocat FTE'!BF$121</f>
        <v>0</v>
      </c>
      <c r="BG71" s="115">
        <f>'[8]FY20 Initial Budget Allocat (2)'!BG71/'FY20 Initial Budget Allocat FTE'!BG$121</f>
        <v>2.1251921149348481</v>
      </c>
      <c r="BH71" s="115">
        <f>'[8]FY20 Initial Budget Allocat (2)'!BH71/'FY20 Initial Budget Allocat FTE'!BH$121</f>
        <v>5</v>
      </c>
      <c r="BI71" s="115">
        <f>'[8]FY20 Initial Budget Allocat (2)'!BI71/'FY20 Initial Budget Allocat FTE'!BI$121</f>
        <v>0</v>
      </c>
      <c r="BJ71" s="79"/>
      <c r="BK71" s="79">
        <v>0</v>
      </c>
      <c r="BL71" s="79">
        <v>17208.599999999999</v>
      </c>
      <c r="BM71" s="79">
        <v>190155.65</v>
      </c>
      <c r="BN71" s="79">
        <v>3025.87</v>
      </c>
      <c r="BO71" s="79">
        <v>0</v>
      </c>
      <c r="BP71" s="115">
        <f>'[8]FY20 Initial Budget Allocat (2)'!BP71/'FY20 Initial Budget Allocat FTE'!BP$121</f>
        <v>0</v>
      </c>
      <c r="BQ71" s="115">
        <f>'[8]FY20 Initial Budget Allocat (2)'!BQ71/'FY20 Initial Budget Allocat FTE'!BQ$121</f>
        <v>0</v>
      </c>
      <c r="BR71" s="115">
        <f>'[8]FY20 Initial Budget Allocat (2)'!BR71/'FY20 Initial Budget Allocat FTE'!BR$121</f>
        <v>0</v>
      </c>
      <c r="BS71" s="115">
        <f>'[8]FY20 Initial Budget Allocat (2)'!BS71/'FY20 Initial Budget Allocat FTE'!BS$121</f>
        <v>0</v>
      </c>
      <c r="BT71" s="115">
        <f>'[8]FY20 Initial Budget Allocat (2)'!BT71/'FY20 Initial Budget Allocat FTE'!BT$121</f>
        <v>1</v>
      </c>
      <c r="BU71" s="115">
        <f>'[8]FY20 Initial Budget Allocat (2)'!BU71/'FY20 Initial Budget Allocat FTE'!BU$121</f>
        <v>0</v>
      </c>
      <c r="BV71" s="115">
        <f>'[8]FY20 Initial Budget Allocat (2)'!BV71/'FY20 Initial Budget Allocat FTE'!BV$121</f>
        <v>0</v>
      </c>
      <c r="BW71" s="80">
        <v>0</v>
      </c>
      <c r="BX71" s="80">
        <v>0</v>
      </c>
      <c r="BY71" s="80">
        <v>0</v>
      </c>
      <c r="BZ71" s="80">
        <v>0</v>
      </c>
      <c r="CA71" s="115">
        <f>'[8]FY20 Initial Budget Allocat (2)'!CA71/'FY20 Initial Budget Allocat FTE'!CA$121</f>
        <v>0</v>
      </c>
      <c r="CB71" s="115">
        <f>'[8]FY20 Initial Budget Allocat (2)'!CB71/'FY20 Initial Budget Allocat FTE'!CB$121</f>
        <v>0</v>
      </c>
      <c r="CC71" s="80">
        <v>0</v>
      </c>
      <c r="CD71" s="115">
        <f>'[8]FY20 Initial Budget Allocat (2)'!CD71/'FY20 Initial Budget Allocat FTE'!CD$121</f>
        <v>0</v>
      </c>
      <c r="CE71" s="115">
        <f>'[8]FY20 Initial Budget Allocat (2)'!CE71/'FY20 Initial Budget Allocat FTE'!CE$121</f>
        <v>0</v>
      </c>
      <c r="CF71" s="115">
        <f>'[8]FY20 Initial Budget Allocat (2)'!CF71/'FY20 Initial Budget Allocat FTE'!CF$121</f>
        <v>0</v>
      </c>
      <c r="CG71" s="115">
        <f>'[8]FY20 Initial Budget Allocat (2)'!CG71/'FY20 Initial Budget Allocat FTE'!CG$121</f>
        <v>0</v>
      </c>
      <c r="CH71" s="115">
        <f>'[8]FY20 Initial Budget Allocat (2)'!CH71/'FY20 Initial Budget Allocat FTE'!CH$121</f>
        <v>0</v>
      </c>
      <c r="CI71" s="115">
        <f>'[8]FY20 Initial Budget Allocat (2)'!CI71/'FY20 Initial Budget Allocat FTE'!CI$121</f>
        <v>0</v>
      </c>
      <c r="CJ71" s="115">
        <f>'[8]FY20 Initial Budget Allocat (2)'!CJ71/'FY20 Initial Budget Allocat FTE'!CJ$121</f>
        <v>0</v>
      </c>
      <c r="CK71" s="79">
        <v>0</v>
      </c>
      <c r="CL71" s="79">
        <v>0</v>
      </c>
      <c r="CM71" s="79">
        <v>54082.8</v>
      </c>
      <c r="CN71" s="79">
        <v>0</v>
      </c>
      <c r="CO71" s="115">
        <f>'[8]FY20 Initial Budget Allocat (2)'!CO71/'FY20 Initial Budget Allocat FTE'!CO$121</f>
        <v>0</v>
      </c>
      <c r="CP71" s="79">
        <v>75000</v>
      </c>
      <c r="CQ71" s="79">
        <v>11201.244019138758</v>
      </c>
      <c r="CR71" s="79">
        <v>0</v>
      </c>
      <c r="CS71" s="79">
        <v>18592.364583333336</v>
      </c>
      <c r="CT71" s="115">
        <f>'[8]FY20 Initial Budget Allocat (2)'!CT71/'FY20 Initial Budget Allocat FTE'!CT$121</f>
        <v>0</v>
      </c>
      <c r="CU71" s="115">
        <f>'[8]FY20 Initial Budget Allocat (2)'!CU71/'FY20 Initial Budget Allocat FTE'!CU$121</f>
        <v>0</v>
      </c>
      <c r="CV71" s="79"/>
      <c r="CW71" s="79">
        <v>0</v>
      </c>
      <c r="CX71" s="115">
        <f>'[8]FY20 Initial Budget Allocat (2)'!CX71/'FY20 Initial Budget Allocat FTE'!CX$121</f>
        <v>0</v>
      </c>
      <c r="CY71" s="79">
        <v>0</v>
      </c>
      <c r="CZ71" s="79">
        <v>0</v>
      </c>
      <c r="DA71" s="79">
        <v>31100</v>
      </c>
      <c r="DB71" s="79">
        <v>66448.087067164772</v>
      </c>
      <c r="DC71" s="82">
        <v>0</v>
      </c>
      <c r="DD71" s="79">
        <v>0</v>
      </c>
      <c r="DE71" s="79"/>
      <c r="DF71" s="79">
        <v>39200</v>
      </c>
      <c r="DG71" s="79">
        <v>0</v>
      </c>
      <c r="DH71" s="83">
        <v>238836.93059527074</v>
      </c>
      <c r="DI71" s="79">
        <v>16147.773631207023</v>
      </c>
      <c r="DJ71" s="79">
        <v>5021957.5993053839</v>
      </c>
      <c r="DK71" s="84">
        <v>6.9461576640605927E-4</v>
      </c>
      <c r="DL71" s="84">
        <v>106759.35</v>
      </c>
      <c r="DM71" s="84">
        <f t="shared" si="6"/>
        <v>5128716.9499999993</v>
      </c>
      <c r="DN71" s="116">
        <f t="shared" si="7"/>
        <v>7</v>
      </c>
      <c r="DO71" s="116">
        <f t="shared" si="8"/>
        <v>7</v>
      </c>
      <c r="DP71" s="116">
        <f t="shared" si="9"/>
        <v>10</v>
      </c>
      <c r="DQ71" s="116">
        <f t="shared" si="10"/>
        <v>7.0454545454545459</v>
      </c>
      <c r="DR71" s="116">
        <f t="shared" si="11"/>
        <v>2</v>
      </c>
    </row>
    <row r="72" spans="1:122" x14ac:dyDescent="0.25">
      <c r="A72" s="76">
        <v>287</v>
      </c>
      <c r="B72" s="76" t="s">
        <v>211</v>
      </c>
      <c r="C72" s="77" t="s">
        <v>135</v>
      </c>
      <c r="D72" s="41">
        <v>3</v>
      </c>
      <c r="E72" s="78">
        <v>614</v>
      </c>
      <c r="F72" s="78">
        <v>32.78125</v>
      </c>
      <c r="G72" s="115">
        <f>'[8]FY20 Initial Budget Allocat (2)'!G72/'FY20 Initial Budget Allocat FTE'!G$121</f>
        <v>1</v>
      </c>
      <c r="H72" s="115">
        <f>'[8]FY20 Initial Budget Allocat (2)'!H72/'FY20 Initial Budget Allocat FTE'!H$121</f>
        <v>1</v>
      </c>
      <c r="I72" s="115">
        <f>'[8]FY20 Initial Budget Allocat (2)'!I72/'FY20 Initial Budget Allocat FTE'!I$121</f>
        <v>1.5</v>
      </c>
      <c r="J72" s="115">
        <f>'[8]FY20 Initial Budget Allocat (2)'!J72/'FY20 Initial Budget Allocat FTE'!J$121</f>
        <v>0</v>
      </c>
      <c r="K72" s="115">
        <f>'[8]FY20 Initial Budget Allocat (2)'!K72/'FY20 Initial Budget Allocat FTE'!K$121</f>
        <v>0</v>
      </c>
      <c r="L72" s="115">
        <f>'[8]FY20 Initial Budget Allocat (2)'!L72/'FY20 Initial Budget Allocat FTE'!L$121</f>
        <v>1</v>
      </c>
      <c r="M72" s="115">
        <f>'[8]FY20 Initial Budget Allocat (2)'!M72/'FY20 Initial Budget Allocat FTE'!M$121</f>
        <v>1</v>
      </c>
      <c r="N72" s="115">
        <f>'[8]FY20 Initial Budget Allocat (2)'!N72/'FY20 Initial Budget Allocat FTE'!N$121</f>
        <v>1.5000000000000002</v>
      </c>
      <c r="O72" s="115">
        <f>'[8]FY20 Initial Budget Allocat (2)'!O72/'FY20 Initial Budget Allocat FTE'!O$121</f>
        <v>0</v>
      </c>
      <c r="P72" s="115">
        <f>'[8]FY20 Initial Budget Allocat (2)'!P72/'FY20 Initial Budget Allocat FTE'!P$121</f>
        <v>0</v>
      </c>
      <c r="Q72" s="115">
        <f>'[8]FY20 Initial Budget Allocat (2)'!Q72/'FY20 Initial Budget Allocat FTE'!Q$121</f>
        <v>0</v>
      </c>
      <c r="R72" s="115">
        <f>'[8]FY20 Initial Budget Allocat (2)'!R72/'FY20 Initial Budget Allocat FTE'!R$121</f>
        <v>1</v>
      </c>
      <c r="S72" s="115">
        <f>'[8]FY20 Initial Budget Allocat (2)'!S72/'FY20 Initial Budget Allocat FTE'!S$121</f>
        <v>1</v>
      </c>
      <c r="T72" s="115">
        <f>'[8]FY20 Initial Budget Allocat (2)'!T72/'FY20 Initial Budget Allocat FTE'!T$121</f>
        <v>4</v>
      </c>
      <c r="U72" s="115">
        <f>'[8]FY20 Initial Budget Allocat (2)'!U72/'FY20 Initial Budget Allocat FTE'!U$121</f>
        <v>1</v>
      </c>
      <c r="V72" s="115">
        <f>'[8]FY20 Initial Budget Allocat (2)'!V72/'FY20 Initial Budget Allocat FTE'!V$121</f>
        <v>1</v>
      </c>
      <c r="W72" s="115">
        <f>'[8]FY20 Initial Budget Allocat (2)'!W72/'FY20 Initial Budget Allocat FTE'!W$121</f>
        <v>1</v>
      </c>
      <c r="X72" s="115">
        <f>'[8]FY20 Initial Budget Allocat (2)'!X72/'FY20 Initial Budget Allocat FTE'!X$121</f>
        <v>1</v>
      </c>
      <c r="Y72" s="115">
        <f>'[8]FY20 Initial Budget Allocat (2)'!Y72/'FY20 Initial Budget Allocat FTE'!Y$121</f>
        <v>2.5</v>
      </c>
      <c r="Z72" s="115">
        <f>'[8]FY20 Initial Budget Allocat (2)'!Z72/'FY20 Initial Budget Allocat FTE'!Z$121</f>
        <v>0</v>
      </c>
      <c r="AA72" s="115">
        <f>'[8]FY20 Initial Budget Allocat (2)'!AA72/'FY20 Initial Budget Allocat FTE'!AA$121</f>
        <v>0</v>
      </c>
      <c r="AB72" s="115">
        <f>'[8]FY20 Initial Budget Allocat (2)'!AB72/'FY20 Initial Budget Allocat FTE'!AB$121</f>
        <v>0</v>
      </c>
      <c r="AC72" s="115">
        <f>'[8]FY20 Initial Budget Allocat (2)'!AC72/'FY20 Initial Budget Allocat FTE'!AC$121</f>
        <v>0</v>
      </c>
      <c r="AD72" s="115">
        <f>'[8]FY20 Initial Budget Allocat (2)'!AD72/'FY20 Initial Budget Allocat FTE'!AD$121</f>
        <v>0</v>
      </c>
      <c r="AE72" s="115">
        <f>'[8]FY20 Initial Budget Allocat (2)'!AE72/'FY20 Initial Budget Allocat FTE'!AE$121</f>
        <v>3.0000000000000004</v>
      </c>
      <c r="AF72" s="115">
        <f>'[8]FY20 Initial Budget Allocat (2)'!AF72/'FY20 Initial Budget Allocat FTE'!AF$121</f>
        <v>3</v>
      </c>
      <c r="AG72" s="115">
        <f>'[8]FY20 Initial Budget Allocat (2)'!AG72/'FY20 Initial Budget Allocat FTE'!AG$121</f>
        <v>4</v>
      </c>
      <c r="AH72" s="115">
        <f>'[8]FY20 Initial Budget Allocat (2)'!AH72/'FY20 Initial Budget Allocat FTE'!AH$121</f>
        <v>4</v>
      </c>
      <c r="AI72" s="115">
        <f>'[8]FY20 Initial Budget Allocat (2)'!AI72/'FY20 Initial Budget Allocat FTE'!AI$121</f>
        <v>4</v>
      </c>
      <c r="AJ72" s="115">
        <f>'[8]FY20 Initial Budget Allocat (2)'!AJ72/'FY20 Initial Budget Allocat FTE'!AJ$121</f>
        <v>4</v>
      </c>
      <c r="AK72" s="115">
        <f>'[8]FY20 Initial Budget Allocat (2)'!AK72/'FY20 Initial Budget Allocat FTE'!AK$121</f>
        <v>4</v>
      </c>
      <c r="AL72" s="115">
        <f>'[8]FY20 Initial Budget Allocat (2)'!AL72/'FY20 Initial Budget Allocat FTE'!AL$121</f>
        <v>4</v>
      </c>
      <c r="AM72" s="115">
        <f>'[8]FY20 Initial Budget Allocat (2)'!AM72/'FY20 Initial Budget Allocat FTE'!AM$121</f>
        <v>5</v>
      </c>
      <c r="AN72" s="115">
        <f>'[8]FY20 Initial Budget Allocat (2)'!AN72/'FY20 Initial Budget Allocat FTE'!AN$121</f>
        <v>0</v>
      </c>
      <c r="AO72" s="115">
        <f>'[8]FY20 Initial Budget Allocat (2)'!AO72/'FY20 Initial Budget Allocat FTE'!AO$121</f>
        <v>0</v>
      </c>
      <c r="AP72" s="115">
        <f>'[8]FY20 Initial Budget Allocat (2)'!AP72/'FY20 Initial Budget Allocat FTE'!AP$121</f>
        <v>0</v>
      </c>
      <c r="AQ72" s="115">
        <f>'[8]FY20 Initial Budget Allocat (2)'!AQ72/'FY20 Initial Budget Allocat FTE'!AQ$121</f>
        <v>0</v>
      </c>
      <c r="AR72" s="115">
        <f>'[8]FY20 Initial Budget Allocat (2)'!AR72/'FY20 Initial Budget Allocat FTE'!AR$121</f>
        <v>0</v>
      </c>
      <c r="AS72" s="115">
        <f>'[8]FY20 Initial Budget Allocat (2)'!AS72/'FY20 Initial Budget Allocat FTE'!AS$121</f>
        <v>0</v>
      </c>
      <c r="AT72" s="115">
        <f>'[8]FY20 Initial Budget Allocat (2)'!AT72/'FY20 Initial Budget Allocat FTE'!AT$121</f>
        <v>0</v>
      </c>
      <c r="AU72" s="115">
        <f>'[8]FY20 Initial Budget Allocat (2)'!AU72/'FY20 Initial Budget Allocat FTE'!AU$121</f>
        <v>0</v>
      </c>
      <c r="AV72" s="115">
        <f>'[8]FY20 Initial Budget Allocat (2)'!AV72/'FY20 Initial Budget Allocat FTE'!AV$121</f>
        <v>0</v>
      </c>
      <c r="AW72" s="115">
        <f>'[8]FY20 Initial Budget Allocat (2)'!AW72/'FY20 Initial Budget Allocat FTE'!AW$121</f>
        <v>0</v>
      </c>
      <c r="AX72" s="115">
        <f>'[8]FY20 Initial Budget Allocat (2)'!AX72/'FY20 Initial Budget Allocat FTE'!AX$121</f>
        <v>0.5</v>
      </c>
      <c r="AY72" s="115">
        <f>'[8]FY20 Initial Budget Allocat (2)'!AY72/'FY20 Initial Budget Allocat FTE'!AY$121</f>
        <v>2</v>
      </c>
      <c r="AZ72" s="115">
        <f>'[8]FY20 Initial Budget Allocat (2)'!AZ72/'FY20 Initial Budget Allocat FTE'!AZ$121</f>
        <v>4</v>
      </c>
      <c r="BA72" s="115">
        <f>'[8]FY20 Initial Budget Allocat (2)'!BA72/'FY20 Initial Budget Allocat FTE'!BA$121</f>
        <v>1</v>
      </c>
      <c r="BB72" s="115">
        <f>'[8]FY20 Initial Budget Allocat (2)'!BB72/'FY20 Initial Budget Allocat FTE'!BB$121</f>
        <v>0</v>
      </c>
      <c r="BC72" s="115">
        <f>'[8]FY20 Initial Budget Allocat (2)'!BC72/'FY20 Initial Budget Allocat FTE'!BC$121</f>
        <v>0</v>
      </c>
      <c r="BD72" s="115">
        <f>'[8]FY20 Initial Budget Allocat (2)'!BD72/'FY20 Initial Budget Allocat FTE'!BD$121</f>
        <v>3.0000000000000004</v>
      </c>
      <c r="BE72" s="115">
        <f>'[8]FY20 Initial Budget Allocat (2)'!BE72/'FY20 Initial Budget Allocat FTE'!BE$121</f>
        <v>0</v>
      </c>
      <c r="BF72" s="115">
        <f>'[8]FY20 Initial Budget Allocat (2)'!BF72/'FY20 Initial Budget Allocat FTE'!BF$121</f>
        <v>0</v>
      </c>
      <c r="BG72" s="115">
        <f>'[8]FY20 Initial Budget Allocat (2)'!BG72/'FY20 Initial Budget Allocat FTE'!BG$121</f>
        <v>0</v>
      </c>
      <c r="BH72" s="115">
        <f>'[8]FY20 Initial Budget Allocat (2)'!BH72/'FY20 Initial Budget Allocat FTE'!BH$121</f>
        <v>0</v>
      </c>
      <c r="BI72" s="115">
        <f>'[8]FY20 Initial Budget Allocat (2)'!BI72/'FY20 Initial Budget Allocat FTE'!BI$121</f>
        <v>0</v>
      </c>
      <c r="BJ72" s="79"/>
      <c r="BK72" s="79">
        <v>0</v>
      </c>
      <c r="BL72" s="79"/>
      <c r="BM72" s="79">
        <v>0</v>
      </c>
      <c r="BN72" s="79">
        <v>0</v>
      </c>
      <c r="BO72" s="79">
        <v>14325</v>
      </c>
      <c r="BP72" s="115">
        <f>'[8]FY20 Initial Budget Allocat (2)'!BP72/'FY20 Initial Budget Allocat FTE'!BP$121</f>
        <v>0</v>
      </c>
      <c r="BQ72" s="115">
        <f>'[8]FY20 Initial Budget Allocat (2)'!BQ72/'FY20 Initial Budget Allocat FTE'!BQ$121</f>
        <v>0</v>
      </c>
      <c r="BR72" s="115">
        <f>'[8]FY20 Initial Budget Allocat (2)'!BR72/'FY20 Initial Budget Allocat FTE'!BR$121</f>
        <v>0</v>
      </c>
      <c r="BS72" s="115">
        <f>'[8]FY20 Initial Budget Allocat (2)'!BS72/'FY20 Initial Budget Allocat FTE'!BS$121</f>
        <v>0</v>
      </c>
      <c r="BT72" s="115">
        <f>'[8]FY20 Initial Budget Allocat (2)'!BT72/'FY20 Initial Budget Allocat FTE'!BT$121</f>
        <v>0</v>
      </c>
      <c r="BU72" s="115">
        <f>'[8]FY20 Initial Budget Allocat (2)'!BU72/'FY20 Initial Budget Allocat FTE'!BU$121</f>
        <v>0</v>
      </c>
      <c r="BV72" s="115">
        <f>'[8]FY20 Initial Budget Allocat (2)'!BV72/'FY20 Initial Budget Allocat FTE'!BV$121</f>
        <v>0</v>
      </c>
      <c r="BW72" s="80">
        <v>0</v>
      </c>
      <c r="BX72" s="80">
        <v>0</v>
      </c>
      <c r="BY72" s="80">
        <v>0</v>
      </c>
      <c r="BZ72" s="80">
        <v>0</v>
      </c>
      <c r="CA72" s="115">
        <f>'[8]FY20 Initial Budget Allocat (2)'!CA72/'FY20 Initial Budget Allocat FTE'!CA$121</f>
        <v>0</v>
      </c>
      <c r="CB72" s="115">
        <f>'[8]FY20 Initial Budget Allocat (2)'!CB72/'FY20 Initial Budget Allocat FTE'!CB$121</f>
        <v>0</v>
      </c>
      <c r="CC72" s="80">
        <v>0</v>
      </c>
      <c r="CD72" s="115">
        <f>'[8]FY20 Initial Budget Allocat (2)'!CD72/'FY20 Initial Budget Allocat FTE'!CD$121</f>
        <v>0</v>
      </c>
      <c r="CE72" s="115">
        <f>'[8]FY20 Initial Budget Allocat (2)'!CE72/'FY20 Initial Budget Allocat FTE'!CE$121</f>
        <v>0</v>
      </c>
      <c r="CF72" s="115">
        <f>'[8]FY20 Initial Budget Allocat (2)'!CF72/'FY20 Initial Budget Allocat FTE'!CF$121</f>
        <v>0</v>
      </c>
      <c r="CG72" s="115">
        <f>'[8]FY20 Initial Budget Allocat (2)'!CG72/'FY20 Initial Budget Allocat FTE'!CG$121</f>
        <v>0</v>
      </c>
      <c r="CH72" s="115">
        <f>'[8]FY20 Initial Budget Allocat (2)'!CH72/'FY20 Initial Budget Allocat FTE'!CH$121</f>
        <v>0</v>
      </c>
      <c r="CI72" s="115">
        <f>'[8]FY20 Initial Budget Allocat (2)'!CI72/'FY20 Initial Budget Allocat FTE'!CI$121</f>
        <v>0</v>
      </c>
      <c r="CJ72" s="115">
        <f>'[8]FY20 Initial Budget Allocat (2)'!CJ72/'FY20 Initial Budget Allocat FTE'!CJ$121</f>
        <v>0</v>
      </c>
      <c r="CK72" s="79">
        <v>0</v>
      </c>
      <c r="CL72" s="79">
        <v>0</v>
      </c>
      <c r="CM72" s="79">
        <v>108165.6</v>
      </c>
      <c r="CN72" s="79">
        <v>0</v>
      </c>
      <c r="CO72" s="115">
        <f>'[8]FY20 Initial Budget Allocat (2)'!CO72/'FY20 Initial Budget Allocat FTE'!CO$121</f>
        <v>0</v>
      </c>
      <c r="CP72" s="79">
        <v>0</v>
      </c>
      <c r="CQ72" s="79">
        <v>0</v>
      </c>
      <c r="CR72" s="79">
        <v>0</v>
      </c>
      <c r="CS72" s="79">
        <v>32300.049095607235</v>
      </c>
      <c r="CT72" s="115">
        <f>'[8]FY20 Initial Budget Allocat (2)'!CT72/'FY20 Initial Budget Allocat FTE'!CT$121</f>
        <v>0</v>
      </c>
      <c r="CU72" s="115">
        <f>'[8]FY20 Initial Budget Allocat (2)'!CU72/'FY20 Initial Budget Allocat FTE'!CU$121</f>
        <v>0</v>
      </c>
      <c r="CV72" s="79"/>
      <c r="CW72" s="79">
        <v>0</v>
      </c>
      <c r="CX72" s="115">
        <f>'[8]FY20 Initial Budget Allocat (2)'!CX72/'FY20 Initial Budget Allocat FTE'!CX$121</f>
        <v>0</v>
      </c>
      <c r="CY72" s="79">
        <v>0</v>
      </c>
      <c r="CZ72" s="79">
        <v>0</v>
      </c>
      <c r="DA72" s="79">
        <v>61400</v>
      </c>
      <c r="DB72" s="79">
        <v>98158.859106347241</v>
      </c>
      <c r="DC72" s="82">
        <v>0</v>
      </c>
      <c r="DD72" s="79">
        <v>0</v>
      </c>
      <c r="DE72" s="79"/>
      <c r="DF72" s="79">
        <v>5100</v>
      </c>
      <c r="DG72" s="79">
        <v>0</v>
      </c>
      <c r="DH72" s="83">
        <v>0</v>
      </c>
      <c r="DI72" s="79">
        <v>10449.956115928409</v>
      </c>
      <c r="DJ72" s="79">
        <v>6416273.0551800439</v>
      </c>
      <c r="DK72" s="84">
        <v>4.8199556767940521E-3</v>
      </c>
      <c r="DL72" s="84">
        <v>0</v>
      </c>
      <c r="DM72" s="84">
        <f t="shared" si="6"/>
        <v>6416273.0599999996</v>
      </c>
      <c r="DN72" s="116">
        <f t="shared" si="7"/>
        <v>7</v>
      </c>
      <c r="DO72" s="116">
        <f t="shared" si="8"/>
        <v>7</v>
      </c>
      <c r="DP72" s="116">
        <f t="shared" si="9"/>
        <v>21</v>
      </c>
      <c r="DQ72" s="116">
        <f t="shared" si="10"/>
        <v>9.5</v>
      </c>
      <c r="DR72" s="116">
        <f t="shared" si="11"/>
        <v>1</v>
      </c>
    </row>
    <row r="73" spans="1:122" x14ac:dyDescent="0.25">
      <c r="A73" s="76">
        <v>288</v>
      </c>
      <c r="B73" s="76" t="s">
        <v>212</v>
      </c>
      <c r="C73" s="77" t="s">
        <v>135</v>
      </c>
      <c r="D73" s="41">
        <v>7</v>
      </c>
      <c r="E73" s="78">
        <v>354</v>
      </c>
      <c r="F73" s="78">
        <v>281.76732673267327</v>
      </c>
      <c r="G73" s="115">
        <f>'[8]FY20 Initial Budget Allocat (2)'!G73/'FY20 Initial Budget Allocat FTE'!G$121</f>
        <v>1</v>
      </c>
      <c r="H73" s="115">
        <f>'[8]FY20 Initial Budget Allocat (2)'!H73/'FY20 Initial Budget Allocat FTE'!H$121</f>
        <v>1</v>
      </c>
      <c r="I73" s="115">
        <f>'[8]FY20 Initial Budget Allocat (2)'!I73/'FY20 Initial Budget Allocat FTE'!I$121</f>
        <v>0.9</v>
      </c>
      <c r="J73" s="115">
        <f>'[8]FY20 Initial Budget Allocat (2)'!J73/'FY20 Initial Budget Allocat FTE'!J$121</f>
        <v>0</v>
      </c>
      <c r="K73" s="115">
        <f>'[8]FY20 Initial Budget Allocat (2)'!K73/'FY20 Initial Budget Allocat FTE'!K$121</f>
        <v>0</v>
      </c>
      <c r="L73" s="115">
        <f>'[8]FY20 Initial Budget Allocat (2)'!L73/'FY20 Initial Budget Allocat FTE'!L$121</f>
        <v>1</v>
      </c>
      <c r="M73" s="115">
        <f>'[8]FY20 Initial Budget Allocat (2)'!M73/'FY20 Initial Budget Allocat FTE'!M$121</f>
        <v>1</v>
      </c>
      <c r="N73" s="115">
        <f>'[8]FY20 Initial Budget Allocat (2)'!N73/'FY20 Initial Budget Allocat FTE'!N$121</f>
        <v>0</v>
      </c>
      <c r="O73" s="115">
        <f>'[8]FY20 Initial Budget Allocat (2)'!O73/'FY20 Initial Budget Allocat FTE'!O$121</f>
        <v>0</v>
      </c>
      <c r="P73" s="115">
        <f>'[8]FY20 Initial Budget Allocat (2)'!P73/'FY20 Initial Budget Allocat FTE'!P$121</f>
        <v>0</v>
      </c>
      <c r="Q73" s="115">
        <f>'[8]FY20 Initial Budget Allocat (2)'!Q73/'FY20 Initial Budget Allocat FTE'!Q$121</f>
        <v>0</v>
      </c>
      <c r="R73" s="115">
        <f>'[8]FY20 Initial Budget Allocat (2)'!R73/'FY20 Initial Budget Allocat FTE'!R$121</f>
        <v>1</v>
      </c>
      <c r="S73" s="115">
        <f>'[8]FY20 Initial Budget Allocat (2)'!S73/'FY20 Initial Budget Allocat FTE'!S$121</f>
        <v>1</v>
      </c>
      <c r="T73" s="115">
        <f>'[8]FY20 Initial Budget Allocat (2)'!T73/'FY20 Initial Budget Allocat FTE'!T$121</f>
        <v>2</v>
      </c>
      <c r="U73" s="115">
        <f>'[8]FY20 Initial Budget Allocat (2)'!U73/'FY20 Initial Budget Allocat FTE'!U$121</f>
        <v>1</v>
      </c>
      <c r="V73" s="115">
        <f>'[8]FY20 Initial Budget Allocat (2)'!V73/'FY20 Initial Budget Allocat FTE'!V$121</f>
        <v>1</v>
      </c>
      <c r="W73" s="115">
        <f>'[8]FY20 Initial Budget Allocat (2)'!W73/'FY20 Initial Budget Allocat FTE'!W$121</f>
        <v>1</v>
      </c>
      <c r="X73" s="115">
        <f>'[8]FY20 Initial Budget Allocat (2)'!X73/'FY20 Initial Budget Allocat FTE'!X$121</f>
        <v>1</v>
      </c>
      <c r="Y73" s="115">
        <f>'[8]FY20 Initial Budget Allocat (2)'!Y73/'FY20 Initial Budget Allocat FTE'!Y$121</f>
        <v>-3.0673717676069148E-15</v>
      </c>
      <c r="Z73" s="115">
        <f>'[8]FY20 Initial Budget Allocat (2)'!Z73/'FY20 Initial Budget Allocat FTE'!Z$121</f>
        <v>1</v>
      </c>
      <c r="AA73" s="115">
        <f>'[8]FY20 Initial Budget Allocat (2)'!AA73/'FY20 Initial Budget Allocat FTE'!AA$121</f>
        <v>0</v>
      </c>
      <c r="AB73" s="115">
        <f>'[8]FY20 Initial Budget Allocat (2)'!AB73/'FY20 Initial Budget Allocat FTE'!AB$121</f>
        <v>0</v>
      </c>
      <c r="AC73" s="115">
        <f>'[8]FY20 Initial Budget Allocat (2)'!AC73/'FY20 Initial Budget Allocat FTE'!AC$121</f>
        <v>6.0000000000000009</v>
      </c>
      <c r="AD73" s="115">
        <f>'[8]FY20 Initial Budget Allocat (2)'!AD73/'FY20 Initial Budget Allocat FTE'!AD$121</f>
        <v>6</v>
      </c>
      <c r="AE73" s="115">
        <f>'[8]FY20 Initial Budget Allocat (2)'!AE73/'FY20 Initial Budget Allocat FTE'!AE$121</f>
        <v>0</v>
      </c>
      <c r="AF73" s="115">
        <f>'[8]FY20 Initial Budget Allocat (2)'!AF73/'FY20 Initial Budget Allocat FTE'!AF$121</f>
        <v>0</v>
      </c>
      <c r="AG73" s="115">
        <f>'[8]FY20 Initial Budget Allocat (2)'!AG73/'FY20 Initial Budget Allocat FTE'!AG$121</f>
        <v>3.0000000000000004</v>
      </c>
      <c r="AH73" s="115">
        <f>'[8]FY20 Initial Budget Allocat (2)'!AH73/'FY20 Initial Budget Allocat FTE'!AH$121</f>
        <v>3</v>
      </c>
      <c r="AI73" s="115">
        <f>'[8]FY20 Initial Budget Allocat (2)'!AI73/'FY20 Initial Budget Allocat FTE'!AI$121</f>
        <v>2</v>
      </c>
      <c r="AJ73" s="115">
        <f>'[8]FY20 Initial Budget Allocat (2)'!AJ73/'FY20 Initial Budget Allocat FTE'!AJ$121</f>
        <v>2</v>
      </c>
      <c r="AK73" s="115">
        <f>'[8]FY20 Initial Budget Allocat (2)'!AK73/'FY20 Initial Budget Allocat FTE'!AK$121</f>
        <v>2</v>
      </c>
      <c r="AL73" s="115">
        <f>'[8]FY20 Initial Budget Allocat (2)'!AL73/'FY20 Initial Budget Allocat FTE'!AL$121</f>
        <v>2</v>
      </c>
      <c r="AM73" s="115">
        <f>'[8]FY20 Initial Budget Allocat (2)'!AM73/'FY20 Initial Budget Allocat FTE'!AM$121</f>
        <v>2</v>
      </c>
      <c r="AN73" s="115">
        <f>'[8]FY20 Initial Budget Allocat (2)'!AN73/'FY20 Initial Budget Allocat FTE'!AN$121</f>
        <v>0</v>
      </c>
      <c r="AO73" s="115">
        <f>'[8]FY20 Initial Budget Allocat (2)'!AO73/'FY20 Initial Budget Allocat FTE'!AO$121</f>
        <v>0</v>
      </c>
      <c r="AP73" s="115">
        <f>'[8]FY20 Initial Budget Allocat (2)'!AP73/'FY20 Initial Budget Allocat FTE'!AP$121</f>
        <v>0</v>
      </c>
      <c r="AQ73" s="115">
        <f>'[8]FY20 Initial Budget Allocat (2)'!AQ73/'FY20 Initial Budget Allocat FTE'!AQ$121</f>
        <v>0</v>
      </c>
      <c r="AR73" s="115">
        <f>'[8]FY20 Initial Budget Allocat (2)'!AR73/'FY20 Initial Budget Allocat FTE'!AR$121</f>
        <v>0</v>
      </c>
      <c r="AS73" s="115">
        <f>'[8]FY20 Initial Budget Allocat (2)'!AS73/'FY20 Initial Budget Allocat FTE'!AS$121</f>
        <v>0</v>
      </c>
      <c r="AT73" s="115">
        <f>'[8]FY20 Initial Budget Allocat (2)'!AT73/'FY20 Initial Budget Allocat FTE'!AT$121</f>
        <v>0</v>
      </c>
      <c r="AU73" s="115">
        <f>'[8]FY20 Initial Budget Allocat (2)'!AU73/'FY20 Initial Budget Allocat FTE'!AU$121</f>
        <v>0</v>
      </c>
      <c r="AV73" s="115">
        <f>'[8]FY20 Initial Budget Allocat (2)'!AV73/'FY20 Initial Budget Allocat FTE'!AV$121</f>
        <v>0</v>
      </c>
      <c r="AW73" s="115">
        <f>'[8]FY20 Initial Budget Allocat (2)'!AW73/'FY20 Initial Budget Allocat FTE'!AW$121</f>
        <v>0</v>
      </c>
      <c r="AX73" s="115">
        <f>'[8]FY20 Initial Budget Allocat (2)'!AX73/'FY20 Initial Budget Allocat FTE'!AX$121</f>
        <v>1</v>
      </c>
      <c r="AY73" s="115">
        <f>'[8]FY20 Initial Budget Allocat (2)'!AY73/'FY20 Initial Budget Allocat FTE'!AY$121</f>
        <v>1</v>
      </c>
      <c r="AZ73" s="115">
        <f>'[8]FY20 Initial Budget Allocat (2)'!AZ73/'FY20 Initial Budget Allocat FTE'!AZ$121</f>
        <v>4</v>
      </c>
      <c r="BA73" s="115">
        <f>'[8]FY20 Initial Budget Allocat (2)'!BA73/'FY20 Initial Budget Allocat FTE'!BA$121</f>
        <v>1</v>
      </c>
      <c r="BB73" s="115">
        <f>'[8]FY20 Initial Budget Allocat (2)'!BB73/'FY20 Initial Budget Allocat FTE'!BB$121</f>
        <v>1</v>
      </c>
      <c r="BC73" s="115">
        <f>'[8]FY20 Initial Budget Allocat (2)'!BC73/'FY20 Initial Budget Allocat FTE'!BC$121</f>
        <v>0</v>
      </c>
      <c r="BD73" s="115">
        <f>'[8]FY20 Initial Budget Allocat (2)'!BD73/'FY20 Initial Budget Allocat FTE'!BD$121</f>
        <v>1</v>
      </c>
      <c r="BE73" s="115">
        <f>'[8]FY20 Initial Budget Allocat (2)'!BE73/'FY20 Initial Budget Allocat FTE'!BE$121</f>
        <v>0</v>
      </c>
      <c r="BF73" s="115">
        <f>'[8]FY20 Initial Budget Allocat (2)'!BF73/'FY20 Initial Budget Allocat FTE'!BF$121</f>
        <v>0</v>
      </c>
      <c r="BG73" s="115">
        <f>'[8]FY20 Initial Budget Allocat (2)'!BG73/'FY20 Initial Budget Allocat FTE'!BG$121</f>
        <v>0</v>
      </c>
      <c r="BH73" s="115">
        <f>'[8]FY20 Initial Budget Allocat (2)'!BH73/'FY20 Initial Budget Allocat FTE'!BH$121</f>
        <v>0</v>
      </c>
      <c r="BI73" s="115">
        <f>'[8]FY20 Initial Budget Allocat (2)'!BI73/'FY20 Initial Budget Allocat FTE'!BI$121</f>
        <v>0</v>
      </c>
      <c r="BJ73" s="79"/>
      <c r="BK73" s="79">
        <v>0</v>
      </c>
      <c r="BL73" s="79"/>
      <c r="BM73" s="79">
        <v>183975.59</v>
      </c>
      <c r="BN73" s="79">
        <v>2927.53</v>
      </c>
      <c r="BO73" s="79">
        <v>0</v>
      </c>
      <c r="BP73" s="115">
        <f>'[8]FY20 Initial Budget Allocat (2)'!BP73/'FY20 Initial Budget Allocat FTE'!BP$121</f>
        <v>0</v>
      </c>
      <c r="BQ73" s="115">
        <f>'[8]FY20 Initial Budget Allocat (2)'!BQ73/'FY20 Initial Budget Allocat FTE'!BQ$121</f>
        <v>0</v>
      </c>
      <c r="BR73" s="115">
        <f>'[8]FY20 Initial Budget Allocat (2)'!BR73/'FY20 Initial Budget Allocat FTE'!BR$121</f>
        <v>0</v>
      </c>
      <c r="BS73" s="115">
        <f>'[8]FY20 Initial Budget Allocat (2)'!BS73/'FY20 Initial Budget Allocat FTE'!BS$121</f>
        <v>0</v>
      </c>
      <c r="BT73" s="115">
        <f>'[8]FY20 Initial Budget Allocat (2)'!BT73/'FY20 Initial Budget Allocat FTE'!BT$121</f>
        <v>0</v>
      </c>
      <c r="BU73" s="115">
        <f>'[8]FY20 Initial Budget Allocat (2)'!BU73/'FY20 Initial Budget Allocat FTE'!BU$121</f>
        <v>0</v>
      </c>
      <c r="BV73" s="115">
        <f>'[8]FY20 Initial Budget Allocat (2)'!BV73/'FY20 Initial Budget Allocat FTE'!BV$121</f>
        <v>0</v>
      </c>
      <c r="BW73" s="80">
        <v>0</v>
      </c>
      <c r="BX73" s="80">
        <v>0</v>
      </c>
      <c r="BY73" s="80">
        <v>0</v>
      </c>
      <c r="BZ73" s="80">
        <v>0</v>
      </c>
      <c r="CA73" s="115">
        <f>'[8]FY20 Initial Budget Allocat (2)'!CA73/'FY20 Initial Budget Allocat FTE'!CA$121</f>
        <v>0</v>
      </c>
      <c r="CB73" s="115">
        <f>'[8]FY20 Initial Budget Allocat (2)'!CB73/'FY20 Initial Budget Allocat FTE'!CB$121</f>
        <v>0</v>
      </c>
      <c r="CC73" s="80">
        <v>0</v>
      </c>
      <c r="CD73" s="115">
        <f>'[8]FY20 Initial Budget Allocat (2)'!CD73/'FY20 Initial Budget Allocat FTE'!CD$121</f>
        <v>0</v>
      </c>
      <c r="CE73" s="115">
        <f>'[8]FY20 Initial Budget Allocat (2)'!CE73/'FY20 Initial Budget Allocat FTE'!CE$121</f>
        <v>0</v>
      </c>
      <c r="CF73" s="115">
        <f>'[8]FY20 Initial Budget Allocat (2)'!CF73/'FY20 Initial Budget Allocat FTE'!CF$121</f>
        <v>0</v>
      </c>
      <c r="CG73" s="115">
        <f>'[8]FY20 Initial Budget Allocat (2)'!CG73/'FY20 Initial Budget Allocat FTE'!CG$121</f>
        <v>0</v>
      </c>
      <c r="CH73" s="115">
        <f>'[8]FY20 Initial Budget Allocat (2)'!CH73/'FY20 Initial Budget Allocat FTE'!CH$121</f>
        <v>0</v>
      </c>
      <c r="CI73" s="115">
        <f>'[8]FY20 Initial Budget Allocat (2)'!CI73/'FY20 Initial Budget Allocat FTE'!CI$121</f>
        <v>0</v>
      </c>
      <c r="CJ73" s="115">
        <f>'[8]FY20 Initial Budget Allocat (2)'!CJ73/'FY20 Initial Budget Allocat FTE'!CJ$121</f>
        <v>0</v>
      </c>
      <c r="CK73" s="79">
        <v>0</v>
      </c>
      <c r="CL73" s="79">
        <v>0</v>
      </c>
      <c r="CM73" s="79">
        <v>54082.8</v>
      </c>
      <c r="CN73" s="79">
        <v>0</v>
      </c>
      <c r="CO73" s="115">
        <f>'[8]FY20 Initial Budget Allocat (2)'!CO73/'FY20 Initial Budget Allocat FTE'!CO$121</f>
        <v>0</v>
      </c>
      <c r="CP73" s="79">
        <v>0</v>
      </c>
      <c r="CQ73" s="79">
        <v>11270.69306930693</v>
      </c>
      <c r="CR73" s="79">
        <v>181240</v>
      </c>
      <c r="CS73" s="79">
        <v>20859.575000000001</v>
      </c>
      <c r="CT73" s="115">
        <f>'[8]FY20 Initial Budget Allocat (2)'!CT73/'FY20 Initial Budget Allocat FTE'!CT$121</f>
        <v>0</v>
      </c>
      <c r="CU73" s="115">
        <f>'[8]FY20 Initial Budget Allocat (2)'!CU73/'FY20 Initial Budget Allocat FTE'!CU$121</f>
        <v>0</v>
      </c>
      <c r="CV73" s="79"/>
      <c r="CW73" s="79">
        <v>0</v>
      </c>
      <c r="CX73" s="115">
        <f>'[8]FY20 Initial Budget Allocat (2)'!CX73/'FY20 Initial Budget Allocat FTE'!CX$121</f>
        <v>0</v>
      </c>
      <c r="CY73" s="79">
        <v>0</v>
      </c>
      <c r="CZ73" s="79">
        <v>0</v>
      </c>
      <c r="DA73" s="79">
        <v>35400</v>
      </c>
      <c r="DB73" s="79">
        <v>76110.159355354845</v>
      </c>
      <c r="DC73" s="82">
        <v>0</v>
      </c>
      <c r="DD73" s="79">
        <v>0</v>
      </c>
      <c r="DE73" s="79"/>
      <c r="DF73" s="79">
        <v>24900</v>
      </c>
      <c r="DG73" s="79">
        <v>0</v>
      </c>
      <c r="DH73" s="83">
        <v>0</v>
      </c>
      <c r="DI73" s="79">
        <v>14510.919315873934</v>
      </c>
      <c r="DJ73" s="79">
        <v>5136865.4378193729</v>
      </c>
      <c r="DK73" s="84">
        <v>2.1806275472044945E-3</v>
      </c>
      <c r="DL73" s="84">
        <v>47244.83</v>
      </c>
      <c r="DM73" s="84">
        <f t="shared" si="6"/>
        <v>5184110.2700000005</v>
      </c>
      <c r="DN73" s="116">
        <f t="shared" si="7"/>
        <v>9.0000000000000018</v>
      </c>
      <c r="DO73" s="116">
        <f t="shared" si="8"/>
        <v>9</v>
      </c>
      <c r="DP73" s="116">
        <f t="shared" si="9"/>
        <v>10</v>
      </c>
      <c r="DQ73" s="116">
        <f t="shared" si="10"/>
        <v>7</v>
      </c>
      <c r="DR73" s="116">
        <f t="shared" si="11"/>
        <v>1</v>
      </c>
    </row>
    <row r="74" spans="1:122" x14ac:dyDescent="0.25">
      <c r="A74" s="76">
        <v>1071</v>
      </c>
      <c r="B74" s="76" t="s">
        <v>372</v>
      </c>
      <c r="C74" s="77" t="s">
        <v>152</v>
      </c>
      <c r="D74" s="41">
        <v>4</v>
      </c>
      <c r="E74" s="78">
        <v>150</v>
      </c>
      <c r="F74" s="78">
        <v>79</v>
      </c>
      <c r="G74" s="115">
        <f>'[8]FY20 Initial Budget Allocat (2)'!G74/'FY20 Initial Budget Allocat FTE'!G$121</f>
        <v>1</v>
      </c>
      <c r="H74" s="115">
        <f>'[8]FY20 Initial Budget Allocat (2)'!H74/'FY20 Initial Budget Allocat FTE'!H$121</f>
        <v>1</v>
      </c>
      <c r="I74" s="115">
        <f>'[8]FY20 Initial Budget Allocat (2)'!I74/'FY20 Initial Budget Allocat FTE'!I$121</f>
        <v>0.5</v>
      </c>
      <c r="J74" s="115">
        <f>'[8]FY20 Initial Budget Allocat (2)'!J74/'FY20 Initial Budget Allocat FTE'!J$121</f>
        <v>1</v>
      </c>
      <c r="K74" s="115">
        <f>'[8]FY20 Initial Budget Allocat (2)'!K74/'FY20 Initial Budget Allocat FTE'!K$121</f>
        <v>0</v>
      </c>
      <c r="L74" s="115">
        <f>'[8]FY20 Initial Budget Allocat (2)'!L74/'FY20 Initial Budget Allocat FTE'!L$121</f>
        <v>0.5</v>
      </c>
      <c r="M74" s="115">
        <f>'[8]FY20 Initial Budget Allocat (2)'!M74/'FY20 Initial Budget Allocat FTE'!M$121</f>
        <v>1</v>
      </c>
      <c r="N74" s="115">
        <f>'[8]FY20 Initial Budget Allocat (2)'!N74/'FY20 Initial Budget Allocat FTE'!N$121</f>
        <v>0</v>
      </c>
      <c r="O74" s="115">
        <f>'[8]FY20 Initial Budget Allocat (2)'!O74/'FY20 Initial Budget Allocat FTE'!O$121</f>
        <v>0</v>
      </c>
      <c r="P74" s="115">
        <f>'[8]FY20 Initial Budget Allocat (2)'!P74/'FY20 Initial Budget Allocat FTE'!P$121</f>
        <v>0</v>
      </c>
      <c r="Q74" s="115">
        <f>'[8]FY20 Initial Budget Allocat (2)'!Q74/'FY20 Initial Budget Allocat FTE'!Q$121</f>
        <v>0</v>
      </c>
      <c r="R74" s="115">
        <f>'[8]FY20 Initial Budget Allocat (2)'!R74/'FY20 Initial Budget Allocat FTE'!R$121</f>
        <v>1</v>
      </c>
      <c r="S74" s="115">
        <f>'[8]FY20 Initial Budget Allocat (2)'!S74/'FY20 Initial Budget Allocat FTE'!S$121</f>
        <v>1</v>
      </c>
      <c r="T74" s="115">
        <f>'[8]FY20 Initial Budget Allocat (2)'!T74/'FY20 Initial Budget Allocat FTE'!T$121</f>
        <v>1</v>
      </c>
      <c r="U74" s="115">
        <f>'[8]FY20 Initial Budget Allocat (2)'!U74/'FY20 Initial Budget Allocat FTE'!U$121</f>
        <v>0.5</v>
      </c>
      <c r="V74" s="115">
        <f>'[8]FY20 Initial Budget Allocat (2)'!V74/'FY20 Initial Budget Allocat FTE'!V$121</f>
        <v>0</v>
      </c>
      <c r="W74" s="115">
        <f>'[8]FY20 Initial Budget Allocat (2)'!W74/'FY20 Initial Budget Allocat FTE'!W$121</f>
        <v>0</v>
      </c>
      <c r="X74" s="115">
        <f>'[8]FY20 Initial Budget Allocat (2)'!X74/'FY20 Initial Budget Allocat FTE'!X$121</f>
        <v>0</v>
      </c>
      <c r="Y74" s="115">
        <f>'[8]FY20 Initial Budget Allocat (2)'!Y74/'FY20 Initial Budget Allocat FTE'!Y$121</f>
        <v>0</v>
      </c>
      <c r="Z74" s="115">
        <f>'[8]FY20 Initial Budget Allocat (2)'!Z74/'FY20 Initial Budget Allocat FTE'!Z$121</f>
        <v>0</v>
      </c>
      <c r="AA74" s="115">
        <f>'[8]FY20 Initial Budget Allocat (2)'!AA74/'FY20 Initial Budget Allocat FTE'!AA$121</f>
        <v>0</v>
      </c>
      <c r="AB74" s="115">
        <f>'[8]FY20 Initial Budget Allocat (2)'!AB74/'FY20 Initial Budget Allocat FTE'!AB$121</f>
        <v>0</v>
      </c>
      <c r="AC74" s="115">
        <f>'[8]FY20 Initial Budget Allocat (2)'!AC74/'FY20 Initial Budget Allocat FTE'!AC$121</f>
        <v>0</v>
      </c>
      <c r="AD74" s="115">
        <f>'[8]FY20 Initial Budget Allocat (2)'!AD74/'FY20 Initial Budget Allocat FTE'!AD$121</f>
        <v>0</v>
      </c>
      <c r="AE74" s="115">
        <f>'[8]FY20 Initial Budget Allocat (2)'!AE74/'FY20 Initial Budget Allocat FTE'!AE$121</f>
        <v>0</v>
      </c>
      <c r="AF74" s="115">
        <f>'[8]FY20 Initial Budget Allocat (2)'!AF74/'FY20 Initial Budget Allocat FTE'!AF$121</f>
        <v>0</v>
      </c>
      <c r="AG74" s="115">
        <f>'[8]FY20 Initial Budget Allocat (2)'!AG74/'FY20 Initial Budget Allocat FTE'!AG$121</f>
        <v>0</v>
      </c>
      <c r="AH74" s="115">
        <f>'[8]FY20 Initial Budget Allocat (2)'!AH74/'FY20 Initial Budget Allocat FTE'!AH$121</f>
        <v>0</v>
      </c>
      <c r="AI74" s="115">
        <f>'[8]FY20 Initial Budget Allocat (2)'!AI74/'FY20 Initial Budget Allocat FTE'!AI$121</f>
        <v>0</v>
      </c>
      <c r="AJ74" s="115">
        <f>'[8]FY20 Initial Budget Allocat (2)'!AJ74/'FY20 Initial Budget Allocat FTE'!AJ$121</f>
        <v>0</v>
      </c>
      <c r="AK74" s="115">
        <f>'[8]FY20 Initial Budget Allocat (2)'!AK74/'FY20 Initial Budget Allocat FTE'!AK$121</f>
        <v>0</v>
      </c>
      <c r="AL74" s="115">
        <f>'[8]FY20 Initial Budget Allocat (2)'!AL74/'FY20 Initial Budget Allocat FTE'!AL$121</f>
        <v>0</v>
      </c>
      <c r="AM74" s="115">
        <f>'[8]FY20 Initial Budget Allocat (2)'!AM74/'FY20 Initial Budget Allocat FTE'!AM$121</f>
        <v>0</v>
      </c>
      <c r="AN74" s="115">
        <f>'[8]FY20 Initial Budget Allocat (2)'!AN74/'FY20 Initial Budget Allocat FTE'!AN$121</f>
        <v>6.8</v>
      </c>
      <c r="AO74" s="115">
        <f>'[8]FY20 Initial Budget Allocat (2)'!AO74/'FY20 Initial Budget Allocat FTE'!AO$121</f>
        <v>0</v>
      </c>
      <c r="AP74" s="115">
        <f>'[8]FY20 Initial Budget Allocat (2)'!AP74/'FY20 Initial Budget Allocat FTE'!AP$121</f>
        <v>0</v>
      </c>
      <c r="AQ74" s="115">
        <f>'[8]FY20 Initial Budget Allocat (2)'!AQ74/'FY20 Initial Budget Allocat FTE'!AQ$121</f>
        <v>0</v>
      </c>
      <c r="AR74" s="115">
        <f>'[8]FY20 Initial Budget Allocat (2)'!AR74/'FY20 Initial Budget Allocat FTE'!AR$121</f>
        <v>0</v>
      </c>
      <c r="AS74" s="115">
        <f>'[8]FY20 Initial Budget Allocat (2)'!AS74/'FY20 Initial Budget Allocat FTE'!AS$121</f>
        <v>0</v>
      </c>
      <c r="AT74" s="115">
        <f>'[8]FY20 Initial Budget Allocat (2)'!AT74/'FY20 Initial Budget Allocat FTE'!AT$121</f>
        <v>0</v>
      </c>
      <c r="AU74" s="115">
        <f>'[8]FY20 Initial Budget Allocat (2)'!AU74/'FY20 Initial Budget Allocat FTE'!AU$121</f>
        <v>0</v>
      </c>
      <c r="AV74" s="115">
        <f>'[8]FY20 Initial Budget Allocat (2)'!AV74/'FY20 Initial Budget Allocat FTE'!AV$121</f>
        <v>0</v>
      </c>
      <c r="AW74" s="115">
        <f>'[8]FY20 Initial Budget Allocat (2)'!AW74/'FY20 Initial Budget Allocat FTE'!AW$121</f>
        <v>0</v>
      </c>
      <c r="AX74" s="115">
        <f>'[8]FY20 Initial Budget Allocat (2)'!AX74/'FY20 Initial Budget Allocat FTE'!AX$121</f>
        <v>0.5</v>
      </c>
      <c r="AY74" s="115">
        <f>'[8]FY20 Initial Budget Allocat (2)'!AY74/'FY20 Initial Budget Allocat FTE'!AY$121</f>
        <v>0.5</v>
      </c>
      <c r="AZ74" s="115">
        <f>'[8]FY20 Initial Budget Allocat (2)'!AZ74/'FY20 Initial Budget Allocat FTE'!AZ$121</f>
        <v>7</v>
      </c>
      <c r="BA74" s="115">
        <f>'[8]FY20 Initial Budget Allocat (2)'!BA74/'FY20 Initial Budget Allocat FTE'!BA$121</f>
        <v>5</v>
      </c>
      <c r="BB74" s="115">
        <f>'[8]FY20 Initial Budget Allocat (2)'!BB74/'FY20 Initial Budget Allocat FTE'!BB$121</f>
        <v>1</v>
      </c>
      <c r="BC74" s="115">
        <f>'[8]FY20 Initial Budget Allocat (2)'!BC74/'FY20 Initial Budget Allocat FTE'!BC$121</f>
        <v>0</v>
      </c>
      <c r="BD74" s="115">
        <f>'[8]FY20 Initial Budget Allocat (2)'!BD74/'FY20 Initial Budget Allocat FTE'!BD$121</f>
        <v>5</v>
      </c>
      <c r="BE74" s="115">
        <f>'[8]FY20 Initial Budget Allocat (2)'!BE74/'FY20 Initial Budget Allocat FTE'!BE$121</f>
        <v>0</v>
      </c>
      <c r="BF74" s="115">
        <f>'[8]FY20 Initial Budget Allocat (2)'!BF74/'FY20 Initial Budget Allocat FTE'!BF$121</f>
        <v>1</v>
      </c>
      <c r="BG74" s="115">
        <f>'[8]FY20 Initial Budget Allocat (2)'!BG74/'FY20 Initial Budget Allocat FTE'!BG$121</f>
        <v>0</v>
      </c>
      <c r="BH74" s="115">
        <f>'[8]FY20 Initial Budget Allocat (2)'!BH74/'FY20 Initial Budget Allocat FTE'!BH$121</f>
        <v>0</v>
      </c>
      <c r="BI74" s="115">
        <f>'[8]FY20 Initial Budget Allocat (2)'!BI74/'FY20 Initial Budget Allocat FTE'!BI$121</f>
        <v>0</v>
      </c>
      <c r="BJ74" s="79"/>
      <c r="BK74" s="79">
        <v>0</v>
      </c>
      <c r="BL74" s="79"/>
      <c r="BM74" s="79">
        <v>71308.37</v>
      </c>
      <c r="BN74" s="79">
        <v>1134.7</v>
      </c>
      <c r="BO74" s="79">
        <v>0</v>
      </c>
      <c r="BP74" s="115">
        <f>'[8]FY20 Initial Budget Allocat (2)'!BP74/'FY20 Initial Budget Allocat FTE'!BP$121</f>
        <v>0</v>
      </c>
      <c r="BQ74" s="115">
        <f>'[8]FY20 Initial Budget Allocat (2)'!BQ74/'FY20 Initial Budget Allocat FTE'!BQ$121</f>
        <v>0</v>
      </c>
      <c r="BR74" s="115">
        <f>'[8]FY20 Initial Budget Allocat (2)'!BR74/'FY20 Initial Budget Allocat FTE'!BR$121</f>
        <v>0</v>
      </c>
      <c r="BS74" s="115">
        <f>'[8]FY20 Initial Budget Allocat (2)'!BS74/'FY20 Initial Budget Allocat FTE'!BS$121</f>
        <v>0</v>
      </c>
      <c r="BT74" s="115">
        <f>'[8]FY20 Initial Budget Allocat (2)'!BT74/'FY20 Initial Budget Allocat FTE'!BT$121</f>
        <v>0</v>
      </c>
      <c r="BU74" s="115">
        <f>'[8]FY20 Initial Budget Allocat (2)'!BU74/'FY20 Initial Budget Allocat FTE'!BU$121</f>
        <v>0</v>
      </c>
      <c r="BV74" s="115">
        <f>'[8]FY20 Initial Budget Allocat (2)'!BV74/'FY20 Initial Budget Allocat FTE'!BV$121</f>
        <v>0</v>
      </c>
      <c r="BW74" s="80">
        <v>0</v>
      </c>
      <c r="BX74" s="80">
        <v>0</v>
      </c>
      <c r="BY74" s="80">
        <v>0</v>
      </c>
      <c r="BZ74" s="80">
        <v>0</v>
      </c>
      <c r="CA74" s="115">
        <f>'[8]FY20 Initial Budget Allocat (2)'!CA74/'FY20 Initial Budget Allocat FTE'!CA$121</f>
        <v>0</v>
      </c>
      <c r="CB74" s="115">
        <f>'[8]FY20 Initial Budget Allocat (2)'!CB74/'FY20 Initial Budget Allocat FTE'!CB$121</f>
        <v>0</v>
      </c>
      <c r="CC74" s="80">
        <v>0</v>
      </c>
      <c r="CD74" s="115">
        <f>'[8]FY20 Initial Budget Allocat (2)'!CD74/'FY20 Initial Budget Allocat FTE'!CD$121</f>
        <v>0</v>
      </c>
      <c r="CE74" s="115">
        <f>'[8]FY20 Initial Budget Allocat (2)'!CE74/'FY20 Initial Budget Allocat FTE'!CE$121</f>
        <v>0</v>
      </c>
      <c r="CF74" s="115">
        <f>'[8]FY20 Initial Budget Allocat (2)'!CF74/'FY20 Initial Budget Allocat FTE'!CF$121</f>
        <v>0</v>
      </c>
      <c r="CG74" s="115">
        <f>'[8]FY20 Initial Budget Allocat (2)'!CG74/'FY20 Initial Budget Allocat FTE'!CG$121</f>
        <v>0</v>
      </c>
      <c r="CH74" s="115">
        <f>'[8]FY20 Initial Budget Allocat (2)'!CH74/'FY20 Initial Budget Allocat FTE'!CH$121</f>
        <v>0</v>
      </c>
      <c r="CI74" s="115">
        <f>'[8]FY20 Initial Budget Allocat (2)'!CI74/'FY20 Initial Budget Allocat FTE'!CI$121</f>
        <v>2</v>
      </c>
      <c r="CJ74" s="115">
        <f>'[8]FY20 Initial Budget Allocat (2)'!CJ74/'FY20 Initial Budget Allocat FTE'!CJ$121</f>
        <v>0</v>
      </c>
      <c r="CK74" s="79">
        <v>23000</v>
      </c>
      <c r="CL74" s="79">
        <v>5000</v>
      </c>
      <c r="CM74" s="79">
        <v>227444.6</v>
      </c>
      <c r="CN74" s="79">
        <v>100000</v>
      </c>
      <c r="CO74" s="115">
        <f>'[8]FY20 Initial Budget Allocat (2)'!CO74/'FY20 Initial Budget Allocat FTE'!CO$121</f>
        <v>0</v>
      </c>
      <c r="CP74" s="79">
        <v>0</v>
      </c>
      <c r="CQ74" s="79">
        <v>1580</v>
      </c>
      <c r="CR74" s="79">
        <v>0</v>
      </c>
      <c r="CS74" s="79">
        <v>13129.181818181818</v>
      </c>
      <c r="CT74" s="115">
        <f>'[8]FY20 Initial Budget Allocat (2)'!CT74/'FY20 Initial Budget Allocat FTE'!CT$121</f>
        <v>0</v>
      </c>
      <c r="CU74" s="115">
        <f>'[8]FY20 Initial Budget Allocat (2)'!CU74/'FY20 Initial Budget Allocat FTE'!CU$121</f>
        <v>0</v>
      </c>
      <c r="CV74" s="79"/>
      <c r="CW74" s="79">
        <v>0</v>
      </c>
      <c r="CX74" s="115">
        <f>'[8]FY20 Initial Budget Allocat (2)'!CX74/'FY20 Initial Budget Allocat FTE'!CX$121</f>
        <v>0</v>
      </c>
      <c r="CY74" s="79">
        <v>0</v>
      </c>
      <c r="CZ74" s="79">
        <v>0</v>
      </c>
      <c r="DA74" s="79">
        <v>15000</v>
      </c>
      <c r="DB74" s="79">
        <v>57913.54865120296</v>
      </c>
      <c r="DC74" s="82">
        <v>0</v>
      </c>
      <c r="DD74" s="79">
        <v>125000</v>
      </c>
      <c r="DE74" s="79"/>
      <c r="DF74" s="79">
        <v>0</v>
      </c>
      <c r="DG74" s="79">
        <v>0</v>
      </c>
      <c r="DH74" s="83">
        <v>0</v>
      </c>
      <c r="DI74" s="79">
        <v>27584.168156836462</v>
      </c>
      <c r="DJ74" s="79">
        <v>4137625.2235254697</v>
      </c>
      <c r="DK74" s="84">
        <v>0</v>
      </c>
      <c r="DL74" s="84">
        <v>0</v>
      </c>
      <c r="DM74" s="84">
        <f t="shared" si="6"/>
        <v>4137625.2235254697</v>
      </c>
      <c r="DN74" s="116">
        <f t="shared" si="7"/>
        <v>0</v>
      </c>
      <c r="DO74" s="116">
        <f t="shared" si="8"/>
        <v>0</v>
      </c>
      <c r="DP74" s="116">
        <f t="shared" si="9"/>
        <v>6.8</v>
      </c>
      <c r="DQ74" s="116">
        <f t="shared" si="10"/>
        <v>14</v>
      </c>
      <c r="DR74" s="116">
        <f t="shared" si="11"/>
        <v>5</v>
      </c>
    </row>
    <row r="75" spans="1:122" x14ac:dyDescent="0.25">
      <c r="A75" s="76">
        <v>290</v>
      </c>
      <c r="B75" s="76" t="s">
        <v>214</v>
      </c>
      <c r="C75" s="77" t="s">
        <v>135</v>
      </c>
      <c r="D75" s="41">
        <v>5</v>
      </c>
      <c r="E75" s="78">
        <v>227</v>
      </c>
      <c r="F75" s="78">
        <v>166.31720430107526</v>
      </c>
      <c r="G75" s="115">
        <f>'[8]FY20 Initial Budget Allocat (2)'!G75/'FY20 Initial Budget Allocat FTE'!G$121</f>
        <v>1</v>
      </c>
      <c r="H75" s="115">
        <f>'[8]FY20 Initial Budget Allocat (2)'!H75/'FY20 Initial Budget Allocat FTE'!H$121</f>
        <v>1</v>
      </c>
      <c r="I75" s="115">
        <f>'[8]FY20 Initial Budget Allocat (2)'!I75/'FY20 Initial Budget Allocat FTE'!I$121</f>
        <v>0</v>
      </c>
      <c r="J75" s="115">
        <f>'[8]FY20 Initial Budget Allocat (2)'!J75/'FY20 Initial Budget Allocat FTE'!J$121</f>
        <v>0</v>
      </c>
      <c r="K75" s="115">
        <f>'[8]FY20 Initial Budget Allocat (2)'!K75/'FY20 Initial Budget Allocat FTE'!K$121</f>
        <v>0</v>
      </c>
      <c r="L75" s="115">
        <f>'[8]FY20 Initial Budget Allocat (2)'!L75/'FY20 Initial Budget Allocat FTE'!L$121</f>
        <v>0.5</v>
      </c>
      <c r="M75" s="115">
        <f>'[8]FY20 Initial Budget Allocat (2)'!M75/'FY20 Initial Budget Allocat FTE'!M$121</f>
        <v>1</v>
      </c>
      <c r="N75" s="115">
        <f>'[8]FY20 Initial Budget Allocat (2)'!N75/'FY20 Initial Budget Allocat FTE'!N$121</f>
        <v>0</v>
      </c>
      <c r="O75" s="115">
        <f>'[8]FY20 Initial Budget Allocat (2)'!O75/'FY20 Initial Budget Allocat FTE'!O$121</f>
        <v>0</v>
      </c>
      <c r="P75" s="115">
        <f>'[8]FY20 Initial Budget Allocat (2)'!P75/'FY20 Initial Budget Allocat FTE'!P$121</f>
        <v>0</v>
      </c>
      <c r="Q75" s="115">
        <f>'[8]FY20 Initial Budget Allocat (2)'!Q75/'FY20 Initial Budget Allocat FTE'!Q$121</f>
        <v>0</v>
      </c>
      <c r="R75" s="115">
        <f>'[8]FY20 Initial Budget Allocat (2)'!R75/'FY20 Initial Budget Allocat FTE'!R$121</f>
        <v>1</v>
      </c>
      <c r="S75" s="115">
        <f>'[8]FY20 Initial Budget Allocat (2)'!S75/'FY20 Initial Budget Allocat FTE'!S$121</f>
        <v>1</v>
      </c>
      <c r="T75" s="115">
        <f>'[8]FY20 Initial Budget Allocat (2)'!T75/'FY20 Initial Budget Allocat FTE'!T$121</f>
        <v>1</v>
      </c>
      <c r="U75" s="115">
        <f>'[8]FY20 Initial Budget Allocat (2)'!U75/'FY20 Initial Budget Allocat FTE'!U$121</f>
        <v>0.5</v>
      </c>
      <c r="V75" s="115">
        <f>'[8]FY20 Initial Budget Allocat (2)'!V75/'FY20 Initial Budget Allocat FTE'!V$121</f>
        <v>1</v>
      </c>
      <c r="W75" s="115">
        <f>'[8]FY20 Initial Budget Allocat (2)'!W75/'FY20 Initial Budget Allocat FTE'!W$121</f>
        <v>1</v>
      </c>
      <c r="X75" s="115">
        <f>'[8]FY20 Initial Budget Allocat (2)'!X75/'FY20 Initial Budget Allocat FTE'!X$121</f>
        <v>1</v>
      </c>
      <c r="Y75" s="115">
        <f>'[8]FY20 Initial Budget Allocat (2)'!Y75/'FY20 Initial Budget Allocat FTE'!Y$121</f>
        <v>0</v>
      </c>
      <c r="Z75" s="115">
        <f>'[8]FY20 Initial Budget Allocat (2)'!Z75/'FY20 Initial Budget Allocat FTE'!Z$121</f>
        <v>0</v>
      </c>
      <c r="AA75" s="115">
        <f>'[8]FY20 Initial Budget Allocat (2)'!AA75/'FY20 Initial Budget Allocat FTE'!AA$121</f>
        <v>1</v>
      </c>
      <c r="AB75" s="115">
        <f>'[8]FY20 Initial Budget Allocat (2)'!AB75/'FY20 Initial Budget Allocat FTE'!AB$121</f>
        <v>1</v>
      </c>
      <c r="AC75" s="115">
        <f>'[8]FY20 Initial Budget Allocat (2)'!AC75/'FY20 Initial Budget Allocat FTE'!AC$121</f>
        <v>1</v>
      </c>
      <c r="AD75" s="115">
        <f>'[8]FY20 Initial Budget Allocat (2)'!AD75/'FY20 Initial Budget Allocat FTE'!AD$121</f>
        <v>1</v>
      </c>
      <c r="AE75" s="115">
        <f>'[8]FY20 Initial Budget Allocat (2)'!AE75/'FY20 Initial Budget Allocat FTE'!AE$121</f>
        <v>1</v>
      </c>
      <c r="AF75" s="115">
        <f>'[8]FY20 Initial Budget Allocat (2)'!AF75/'FY20 Initial Budget Allocat FTE'!AF$121</f>
        <v>1</v>
      </c>
      <c r="AG75" s="115">
        <f>'[8]FY20 Initial Budget Allocat (2)'!AG75/'FY20 Initial Budget Allocat FTE'!AG$121</f>
        <v>2</v>
      </c>
      <c r="AH75" s="115">
        <f>'[8]FY20 Initial Budget Allocat (2)'!AH75/'FY20 Initial Budget Allocat FTE'!AH$121</f>
        <v>2</v>
      </c>
      <c r="AI75" s="115">
        <f>'[8]FY20 Initial Budget Allocat (2)'!AI75/'FY20 Initial Budget Allocat FTE'!AI$121</f>
        <v>2</v>
      </c>
      <c r="AJ75" s="115">
        <f>'[8]FY20 Initial Budget Allocat (2)'!AJ75/'FY20 Initial Budget Allocat FTE'!AJ$121</f>
        <v>1</v>
      </c>
      <c r="AK75" s="115">
        <f>'[8]FY20 Initial Budget Allocat (2)'!AK75/'FY20 Initial Budget Allocat FTE'!AK$121</f>
        <v>2</v>
      </c>
      <c r="AL75" s="115">
        <f>'[8]FY20 Initial Budget Allocat (2)'!AL75/'FY20 Initial Budget Allocat FTE'!AL$121</f>
        <v>1</v>
      </c>
      <c r="AM75" s="115">
        <f>'[8]FY20 Initial Budget Allocat (2)'!AM75/'FY20 Initial Budget Allocat FTE'!AM$121</f>
        <v>2</v>
      </c>
      <c r="AN75" s="115">
        <f>'[8]FY20 Initial Budget Allocat (2)'!AN75/'FY20 Initial Budget Allocat FTE'!AN$121</f>
        <v>0</v>
      </c>
      <c r="AO75" s="115">
        <f>'[8]FY20 Initial Budget Allocat (2)'!AO75/'FY20 Initial Budget Allocat FTE'!AO$121</f>
        <v>0</v>
      </c>
      <c r="AP75" s="115">
        <f>'[8]FY20 Initial Budget Allocat (2)'!AP75/'FY20 Initial Budget Allocat FTE'!AP$121</f>
        <v>0</v>
      </c>
      <c r="AQ75" s="115">
        <f>'[8]FY20 Initial Budget Allocat (2)'!AQ75/'FY20 Initial Budget Allocat FTE'!AQ$121</f>
        <v>0</v>
      </c>
      <c r="AR75" s="115">
        <f>'[8]FY20 Initial Budget Allocat (2)'!AR75/'FY20 Initial Budget Allocat FTE'!AR$121</f>
        <v>0</v>
      </c>
      <c r="AS75" s="115">
        <f>'[8]FY20 Initial Budget Allocat (2)'!AS75/'FY20 Initial Budget Allocat FTE'!AS$121</f>
        <v>0</v>
      </c>
      <c r="AT75" s="115">
        <f>'[8]FY20 Initial Budget Allocat (2)'!AT75/'FY20 Initial Budget Allocat FTE'!AT$121</f>
        <v>0</v>
      </c>
      <c r="AU75" s="115">
        <f>'[8]FY20 Initial Budget Allocat (2)'!AU75/'FY20 Initial Budget Allocat FTE'!AU$121</f>
        <v>0</v>
      </c>
      <c r="AV75" s="115">
        <f>'[8]FY20 Initial Budget Allocat (2)'!AV75/'FY20 Initial Budget Allocat FTE'!AV$121</f>
        <v>0</v>
      </c>
      <c r="AW75" s="115">
        <f>'[8]FY20 Initial Budget Allocat (2)'!AW75/'FY20 Initial Budget Allocat FTE'!AW$121</f>
        <v>0</v>
      </c>
      <c r="AX75" s="115">
        <f>'[8]FY20 Initial Budget Allocat (2)'!AX75/'FY20 Initial Budget Allocat FTE'!AX$121</f>
        <v>1</v>
      </c>
      <c r="AY75" s="115">
        <f>'[8]FY20 Initial Budget Allocat (2)'!AY75/'FY20 Initial Budget Allocat FTE'!AY$121</f>
        <v>1</v>
      </c>
      <c r="AZ75" s="115">
        <f>'[8]FY20 Initial Budget Allocat (2)'!AZ75/'FY20 Initial Budget Allocat FTE'!AZ$121</f>
        <v>6.0000000000000009</v>
      </c>
      <c r="BA75" s="115">
        <f>'[8]FY20 Initial Budget Allocat (2)'!BA75/'FY20 Initial Budget Allocat FTE'!BA$121</f>
        <v>4</v>
      </c>
      <c r="BB75" s="115">
        <f>'[8]FY20 Initial Budget Allocat (2)'!BB75/'FY20 Initial Budget Allocat FTE'!BB$121</f>
        <v>0</v>
      </c>
      <c r="BC75" s="115">
        <f>'[8]FY20 Initial Budget Allocat (2)'!BC75/'FY20 Initial Budget Allocat FTE'!BC$121</f>
        <v>0</v>
      </c>
      <c r="BD75" s="115">
        <f>'[8]FY20 Initial Budget Allocat (2)'!BD75/'FY20 Initial Budget Allocat FTE'!BD$121</f>
        <v>1</v>
      </c>
      <c r="BE75" s="115">
        <f>'[8]FY20 Initial Budget Allocat (2)'!BE75/'FY20 Initial Budget Allocat FTE'!BE$121</f>
        <v>0</v>
      </c>
      <c r="BF75" s="115">
        <f>'[8]FY20 Initial Budget Allocat (2)'!BF75/'FY20 Initial Budget Allocat FTE'!BF$121</f>
        <v>0</v>
      </c>
      <c r="BG75" s="115">
        <f>'[8]FY20 Initial Budget Allocat (2)'!BG75/'FY20 Initial Budget Allocat FTE'!BG$121</f>
        <v>2.062629468760441</v>
      </c>
      <c r="BH75" s="115">
        <f>'[8]FY20 Initial Budget Allocat (2)'!BH75/'FY20 Initial Budget Allocat FTE'!BH$121</f>
        <v>4</v>
      </c>
      <c r="BI75" s="115">
        <f>'[8]FY20 Initial Budget Allocat (2)'!BI75/'FY20 Initial Budget Allocat FTE'!BI$121</f>
        <v>1</v>
      </c>
      <c r="BJ75" s="79"/>
      <c r="BK75" s="79">
        <v>0</v>
      </c>
      <c r="BL75" s="79">
        <v>11597.1</v>
      </c>
      <c r="BM75" s="79">
        <v>92700.88</v>
      </c>
      <c r="BN75" s="79">
        <v>1475.11</v>
      </c>
      <c r="BO75" s="79">
        <v>0</v>
      </c>
      <c r="BP75" s="115">
        <f>'[8]FY20 Initial Budget Allocat (2)'!BP75/'FY20 Initial Budget Allocat FTE'!BP$121</f>
        <v>0</v>
      </c>
      <c r="BQ75" s="115">
        <f>'[8]FY20 Initial Budget Allocat (2)'!BQ75/'FY20 Initial Budget Allocat FTE'!BQ$121</f>
        <v>0</v>
      </c>
      <c r="BR75" s="115">
        <f>'[8]FY20 Initial Budget Allocat (2)'!BR75/'FY20 Initial Budget Allocat FTE'!BR$121</f>
        <v>0</v>
      </c>
      <c r="BS75" s="115">
        <f>'[8]FY20 Initial Budget Allocat (2)'!BS75/'FY20 Initial Budget Allocat FTE'!BS$121</f>
        <v>0</v>
      </c>
      <c r="BT75" s="115">
        <f>'[8]FY20 Initial Budget Allocat (2)'!BT75/'FY20 Initial Budget Allocat FTE'!BT$121</f>
        <v>0</v>
      </c>
      <c r="BU75" s="115">
        <f>'[8]FY20 Initial Budget Allocat (2)'!BU75/'FY20 Initial Budget Allocat FTE'!BU$121</f>
        <v>0</v>
      </c>
      <c r="BV75" s="115">
        <f>'[8]FY20 Initial Budget Allocat (2)'!BV75/'FY20 Initial Budget Allocat FTE'!BV$121</f>
        <v>0</v>
      </c>
      <c r="BW75" s="80">
        <v>0</v>
      </c>
      <c r="BX75" s="80">
        <v>0</v>
      </c>
      <c r="BY75" s="80">
        <v>0</v>
      </c>
      <c r="BZ75" s="80">
        <v>0</v>
      </c>
      <c r="CA75" s="115">
        <f>'[8]FY20 Initial Budget Allocat (2)'!CA75/'FY20 Initial Budget Allocat FTE'!CA$121</f>
        <v>0</v>
      </c>
      <c r="CB75" s="115">
        <f>'[8]FY20 Initial Budget Allocat (2)'!CB75/'FY20 Initial Budget Allocat FTE'!CB$121</f>
        <v>0</v>
      </c>
      <c r="CC75" s="80">
        <v>0</v>
      </c>
      <c r="CD75" s="115">
        <f>'[8]FY20 Initial Budget Allocat (2)'!CD75/'FY20 Initial Budget Allocat FTE'!CD$121</f>
        <v>0</v>
      </c>
      <c r="CE75" s="115">
        <f>'[8]FY20 Initial Budget Allocat (2)'!CE75/'FY20 Initial Budget Allocat FTE'!CE$121</f>
        <v>0</v>
      </c>
      <c r="CF75" s="115">
        <f>'[8]FY20 Initial Budget Allocat (2)'!CF75/'FY20 Initial Budget Allocat FTE'!CF$121</f>
        <v>0</v>
      </c>
      <c r="CG75" s="115">
        <f>'[8]FY20 Initial Budget Allocat (2)'!CG75/'FY20 Initial Budget Allocat FTE'!CG$121</f>
        <v>0</v>
      </c>
      <c r="CH75" s="115">
        <f>'[8]FY20 Initial Budget Allocat (2)'!CH75/'FY20 Initial Budget Allocat FTE'!CH$121</f>
        <v>0</v>
      </c>
      <c r="CI75" s="115">
        <f>'[8]FY20 Initial Budget Allocat (2)'!CI75/'FY20 Initial Budget Allocat FTE'!CI$121</f>
        <v>0</v>
      </c>
      <c r="CJ75" s="115">
        <f>'[8]FY20 Initial Budget Allocat (2)'!CJ75/'FY20 Initial Budget Allocat FTE'!CJ$121</f>
        <v>0</v>
      </c>
      <c r="CK75" s="79">
        <v>0</v>
      </c>
      <c r="CL75" s="79">
        <v>0</v>
      </c>
      <c r="CM75" s="79">
        <v>54082.8</v>
      </c>
      <c r="CN75" s="79">
        <v>0</v>
      </c>
      <c r="CO75" s="115">
        <f>'[8]FY20 Initial Budget Allocat (2)'!CO75/'FY20 Initial Budget Allocat FTE'!CO$121</f>
        <v>0</v>
      </c>
      <c r="CP75" s="79">
        <v>0</v>
      </c>
      <c r="CQ75" s="79">
        <v>3326.3440860215051</v>
      </c>
      <c r="CR75" s="79">
        <v>35280</v>
      </c>
      <c r="CS75" s="79">
        <v>13371.44884910486</v>
      </c>
      <c r="CT75" s="115">
        <f>'[8]FY20 Initial Budget Allocat (2)'!CT75/'FY20 Initial Budget Allocat FTE'!CT$121</f>
        <v>0</v>
      </c>
      <c r="CU75" s="115">
        <f>'[8]FY20 Initial Budget Allocat (2)'!CU75/'FY20 Initial Budget Allocat FTE'!CU$121</f>
        <v>0</v>
      </c>
      <c r="CV75" s="79"/>
      <c r="CW75" s="79">
        <v>0</v>
      </c>
      <c r="CX75" s="115">
        <f>'[8]FY20 Initial Budget Allocat (2)'!CX75/'FY20 Initial Budget Allocat FTE'!CX$121</f>
        <v>0</v>
      </c>
      <c r="CY75" s="79">
        <v>0</v>
      </c>
      <c r="CZ75" s="79">
        <v>0</v>
      </c>
      <c r="DA75" s="79">
        <v>22700</v>
      </c>
      <c r="DB75" s="79">
        <v>59291.170114477893</v>
      </c>
      <c r="DC75" s="82">
        <v>0</v>
      </c>
      <c r="DD75" s="79">
        <v>0</v>
      </c>
      <c r="DE75" s="79"/>
      <c r="DF75" s="79">
        <v>10000</v>
      </c>
      <c r="DG75" s="79">
        <v>0</v>
      </c>
      <c r="DH75" s="83">
        <v>0</v>
      </c>
      <c r="DI75" s="79">
        <v>17589.229632685729</v>
      </c>
      <c r="DJ75" s="79">
        <v>3992755.1266196598</v>
      </c>
      <c r="DK75" s="84">
        <v>59457.87338034017</v>
      </c>
      <c r="DL75" s="84">
        <v>0</v>
      </c>
      <c r="DM75" s="84">
        <f t="shared" si="6"/>
        <v>4052213</v>
      </c>
      <c r="DN75" s="116">
        <f t="shared" si="7"/>
        <v>5</v>
      </c>
      <c r="DO75" s="116">
        <f t="shared" si="8"/>
        <v>5</v>
      </c>
      <c r="DP75" s="116">
        <f t="shared" si="9"/>
        <v>8</v>
      </c>
      <c r="DQ75" s="116">
        <f t="shared" si="10"/>
        <v>9</v>
      </c>
      <c r="DR75" s="116">
        <f t="shared" si="11"/>
        <v>4</v>
      </c>
    </row>
    <row r="76" spans="1:122" x14ac:dyDescent="0.25">
      <c r="A76" s="76">
        <v>291</v>
      </c>
      <c r="B76" s="76" t="s">
        <v>215</v>
      </c>
      <c r="C76" s="77" t="s">
        <v>135</v>
      </c>
      <c r="D76" s="41">
        <v>8</v>
      </c>
      <c r="E76" s="78">
        <v>440</v>
      </c>
      <c r="F76" s="78">
        <v>350.98337292161517</v>
      </c>
      <c r="G76" s="115">
        <f>'[8]FY20 Initial Budget Allocat (2)'!G76/'FY20 Initial Budget Allocat FTE'!G$121</f>
        <v>1</v>
      </c>
      <c r="H76" s="115">
        <f>'[8]FY20 Initial Budget Allocat (2)'!H76/'FY20 Initial Budget Allocat FTE'!H$121</f>
        <v>1</v>
      </c>
      <c r="I76" s="115">
        <f>'[8]FY20 Initial Budget Allocat (2)'!I76/'FY20 Initial Budget Allocat FTE'!I$121</f>
        <v>1.1000000000000001</v>
      </c>
      <c r="J76" s="115">
        <f>'[8]FY20 Initial Budget Allocat (2)'!J76/'FY20 Initial Budget Allocat FTE'!J$121</f>
        <v>0</v>
      </c>
      <c r="K76" s="115">
        <f>'[8]FY20 Initial Budget Allocat (2)'!K76/'FY20 Initial Budget Allocat FTE'!K$121</f>
        <v>0</v>
      </c>
      <c r="L76" s="115">
        <f>'[8]FY20 Initial Budget Allocat (2)'!L76/'FY20 Initial Budget Allocat FTE'!L$121</f>
        <v>1</v>
      </c>
      <c r="M76" s="115">
        <f>'[8]FY20 Initial Budget Allocat (2)'!M76/'FY20 Initial Budget Allocat FTE'!M$121</f>
        <v>1</v>
      </c>
      <c r="N76" s="115">
        <f>'[8]FY20 Initial Budget Allocat (2)'!N76/'FY20 Initial Budget Allocat FTE'!N$121</f>
        <v>1.1000000000000001</v>
      </c>
      <c r="O76" s="115">
        <f>'[8]FY20 Initial Budget Allocat (2)'!O76/'FY20 Initial Budget Allocat FTE'!O$121</f>
        <v>0</v>
      </c>
      <c r="P76" s="115">
        <f>'[8]FY20 Initial Budget Allocat (2)'!P76/'FY20 Initial Budget Allocat FTE'!P$121</f>
        <v>0</v>
      </c>
      <c r="Q76" s="115">
        <f>'[8]FY20 Initial Budget Allocat (2)'!Q76/'FY20 Initial Budget Allocat FTE'!Q$121</f>
        <v>0</v>
      </c>
      <c r="R76" s="115">
        <f>'[8]FY20 Initial Budget Allocat (2)'!R76/'FY20 Initial Budget Allocat FTE'!R$121</f>
        <v>1</v>
      </c>
      <c r="S76" s="115">
        <f>'[8]FY20 Initial Budget Allocat (2)'!S76/'FY20 Initial Budget Allocat FTE'!S$121</f>
        <v>1</v>
      </c>
      <c r="T76" s="115">
        <f>'[8]FY20 Initial Budget Allocat (2)'!T76/'FY20 Initial Budget Allocat FTE'!T$121</f>
        <v>2</v>
      </c>
      <c r="U76" s="115">
        <f>'[8]FY20 Initial Budget Allocat (2)'!U76/'FY20 Initial Budget Allocat FTE'!U$121</f>
        <v>1</v>
      </c>
      <c r="V76" s="115">
        <f>'[8]FY20 Initial Budget Allocat (2)'!V76/'FY20 Initial Budget Allocat FTE'!V$121</f>
        <v>1</v>
      </c>
      <c r="W76" s="115">
        <f>'[8]FY20 Initial Budget Allocat (2)'!W76/'FY20 Initial Budget Allocat FTE'!W$121</f>
        <v>1</v>
      </c>
      <c r="X76" s="115">
        <f>'[8]FY20 Initial Budget Allocat (2)'!X76/'FY20 Initial Budget Allocat FTE'!X$121</f>
        <v>1</v>
      </c>
      <c r="Y76" s="115">
        <f>'[8]FY20 Initial Budget Allocat (2)'!Y76/'FY20 Initial Budget Allocat FTE'!Y$121</f>
        <v>1.5000000000000002</v>
      </c>
      <c r="Z76" s="115">
        <f>'[8]FY20 Initial Budget Allocat (2)'!Z76/'FY20 Initial Budget Allocat FTE'!Z$121</f>
        <v>0</v>
      </c>
      <c r="AA76" s="115">
        <f>'[8]FY20 Initial Budget Allocat (2)'!AA76/'FY20 Initial Budget Allocat FTE'!AA$121</f>
        <v>3.0000000000000004</v>
      </c>
      <c r="AB76" s="115">
        <f>'[8]FY20 Initial Budget Allocat (2)'!AB76/'FY20 Initial Budget Allocat FTE'!AB$121</f>
        <v>3</v>
      </c>
      <c r="AC76" s="115">
        <f>'[8]FY20 Initial Budget Allocat (2)'!AC76/'FY20 Initial Budget Allocat FTE'!AC$121</f>
        <v>0</v>
      </c>
      <c r="AD76" s="115">
        <f>'[8]FY20 Initial Budget Allocat (2)'!AD76/'FY20 Initial Budget Allocat FTE'!AD$121</f>
        <v>0</v>
      </c>
      <c r="AE76" s="115">
        <f>'[8]FY20 Initial Budget Allocat (2)'!AE76/'FY20 Initial Budget Allocat FTE'!AE$121</f>
        <v>3.0000000000000004</v>
      </c>
      <c r="AF76" s="115">
        <f>'[8]FY20 Initial Budget Allocat (2)'!AF76/'FY20 Initial Budget Allocat FTE'!AF$121</f>
        <v>3</v>
      </c>
      <c r="AG76" s="115">
        <f>'[8]FY20 Initial Budget Allocat (2)'!AG76/'FY20 Initial Budget Allocat FTE'!AG$121</f>
        <v>3.0000000000000004</v>
      </c>
      <c r="AH76" s="115">
        <f>'[8]FY20 Initial Budget Allocat (2)'!AH76/'FY20 Initial Budget Allocat FTE'!AH$121</f>
        <v>3</v>
      </c>
      <c r="AI76" s="115">
        <f>'[8]FY20 Initial Budget Allocat (2)'!AI76/'FY20 Initial Budget Allocat FTE'!AI$121</f>
        <v>3.0000000000000004</v>
      </c>
      <c r="AJ76" s="115">
        <f>'[8]FY20 Initial Budget Allocat (2)'!AJ76/'FY20 Initial Budget Allocat FTE'!AJ$121</f>
        <v>3.0000000000000004</v>
      </c>
      <c r="AK76" s="115">
        <f>'[8]FY20 Initial Budget Allocat (2)'!AK76/'FY20 Initial Budget Allocat FTE'!AK$121</f>
        <v>3.0000000000000004</v>
      </c>
      <c r="AL76" s="115">
        <f>'[8]FY20 Initial Budget Allocat (2)'!AL76/'FY20 Initial Budget Allocat FTE'!AL$121</f>
        <v>3.0000000000000004</v>
      </c>
      <c r="AM76" s="115">
        <f>'[8]FY20 Initial Budget Allocat (2)'!AM76/'FY20 Initial Budget Allocat FTE'!AM$121</f>
        <v>2</v>
      </c>
      <c r="AN76" s="115">
        <f>'[8]FY20 Initial Budget Allocat (2)'!AN76/'FY20 Initial Budget Allocat FTE'!AN$121</f>
        <v>0</v>
      </c>
      <c r="AO76" s="115">
        <f>'[8]FY20 Initial Budget Allocat (2)'!AO76/'FY20 Initial Budget Allocat FTE'!AO$121</f>
        <v>0</v>
      </c>
      <c r="AP76" s="115">
        <f>'[8]FY20 Initial Budget Allocat (2)'!AP76/'FY20 Initial Budget Allocat FTE'!AP$121</f>
        <v>0</v>
      </c>
      <c r="AQ76" s="115">
        <f>'[8]FY20 Initial Budget Allocat (2)'!AQ76/'FY20 Initial Budget Allocat FTE'!AQ$121</f>
        <v>0</v>
      </c>
      <c r="AR76" s="115">
        <f>'[8]FY20 Initial Budget Allocat (2)'!AR76/'FY20 Initial Budget Allocat FTE'!AR$121</f>
        <v>0</v>
      </c>
      <c r="AS76" s="115">
        <f>'[8]FY20 Initial Budget Allocat (2)'!AS76/'FY20 Initial Budget Allocat FTE'!AS$121</f>
        <v>0</v>
      </c>
      <c r="AT76" s="115">
        <f>'[8]FY20 Initial Budget Allocat (2)'!AT76/'FY20 Initial Budget Allocat FTE'!AT$121</f>
        <v>0</v>
      </c>
      <c r="AU76" s="115">
        <f>'[8]FY20 Initial Budget Allocat (2)'!AU76/'FY20 Initial Budget Allocat FTE'!AU$121</f>
        <v>0</v>
      </c>
      <c r="AV76" s="115">
        <f>'[8]FY20 Initial Budget Allocat (2)'!AV76/'FY20 Initial Budget Allocat FTE'!AV$121</f>
        <v>0</v>
      </c>
      <c r="AW76" s="115">
        <f>'[8]FY20 Initial Budget Allocat (2)'!AW76/'FY20 Initial Budget Allocat FTE'!AW$121</f>
        <v>0</v>
      </c>
      <c r="AX76" s="115">
        <f>'[8]FY20 Initial Budget Allocat (2)'!AX76/'FY20 Initial Budget Allocat FTE'!AX$121</f>
        <v>1</v>
      </c>
      <c r="AY76" s="115">
        <f>'[8]FY20 Initial Budget Allocat (2)'!AY76/'FY20 Initial Budget Allocat FTE'!AY$121</f>
        <v>1</v>
      </c>
      <c r="AZ76" s="115">
        <f>'[8]FY20 Initial Budget Allocat (2)'!AZ76/'FY20 Initial Budget Allocat FTE'!AZ$121</f>
        <v>5</v>
      </c>
      <c r="BA76" s="115">
        <f>'[8]FY20 Initial Budget Allocat (2)'!BA76/'FY20 Initial Budget Allocat FTE'!BA$121</f>
        <v>1</v>
      </c>
      <c r="BB76" s="115">
        <f>'[8]FY20 Initial Budget Allocat (2)'!BB76/'FY20 Initial Budget Allocat FTE'!BB$121</f>
        <v>1</v>
      </c>
      <c r="BC76" s="115">
        <f>'[8]FY20 Initial Budget Allocat (2)'!BC76/'FY20 Initial Budget Allocat FTE'!BC$121</f>
        <v>0</v>
      </c>
      <c r="BD76" s="115">
        <f>'[8]FY20 Initial Budget Allocat (2)'!BD76/'FY20 Initial Budget Allocat FTE'!BD$121</f>
        <v>9.0909090909090912E-2</v>
      </c>
      <c r="BE76" s="115">
        <f>'[8]FY20 Initial Budget Allocat (2)'!BE76/'FY20 Initial Budget Allocat FTE'!BE$121</f>
        <v>0</v>
      </c>
      <c r="BF76" s="115">
        <f>'[8]FY20 Initial Budget Allocat (2)'!BF76/'FY20 Initial Budget Allocat FTE'!BF$121</f>
        <v>0</v>
      </c>
      <c r="BG76" s="115">
        <f>'[8]FY20 Initial Budget Allocat (2)'!BG76/'FY20 Initial Budget Allocat FTE'!BG$121</f>
        <v>0</v>
      </c>
      <c r="BH76" s="115">
        <f>'[8]FY20 Initial Budget Allocat (2)'!BH76/'FY20 Initial Budget Allocat FTE'!BH$121</f>
        <v>0</v>
      </c>
      <c r="BI76" s="115">
        <f>'[8]FY20 Initial Budget Allocat (2)'!BI76/'FY20 Initial Budget Allocat FTE'!BI$121</f>
        <v>0</v>
      </c>
      <c r="BJ76" s="79"/>
      <c r="BK76" s="79">
        <v>0</v>
      </c>
      <c r="BL76" s="79">
        <v>23194.2</v>
      </c>
      <c r="BM76" s="79">
        <v>192057.21</v>
      </c>
      <c r="BN76" s="79">
        <v>3056.13</v>
      </c>
      <c r="BO76" s="79">
        <v>0</v>
      </c>
      <c r="BP76" s="115">
        <f>'[8]FY20 Initial Budget Allocat (2)'!BP76/'FY20 Initial Budget Allocat FTE'!BP$121</f>
        <v>0</v>
      </c>
      <c r="BQ76" s="115">
        <f>'[8]FY20 Initial Budget Allocat (2)'!BQ76/'FY20 Initial Budget Allocat FTE'!BQ$121</f>
        <v>0</v>
      </c>
      <c r="BR76" s="115">
        <f>'[8]FY20 Initial Budget Allocat (2)'!BR76/'FY20 Initial Budget Allocat FTE'!BR$121</f>
        <v>0</v>
      </c>
      <c r="BS76" s="115">
        <f>'[8]FY20 Initial Budget Allocat (2)'!BS76/'FY20 Initial Budget Allocat FTE'!BS$121</f>
        <v>0</v>
      </c>
      <c r="BT76" s="115">
        <f>'[8]FY20 Initial Budget Allocat (2)'!BT76/'FY20 Initial Budget Allocat FTE'!BT$121</f>
        <v>0</v>
      </c>
      <c r="BU76" s="115">
        <f>'[8]FY20 Initial Budget Allocat (2)'!BU76/'FY20 Initial Budget Allocat FTE'!BU$121</f>
        <v>0</v>
      </c>
      <c r="BV76" s="115">
        <f>'[8]FY20 Initial Budget Allocat (2)'!BV76/'FY20 Initial Budget Allocat FTE'!BV$121</f>
        <v>0</v>
      </c>
      <c r="BW76" s="80">
        <v>0</v>
      </c>
      <c r="BX76" s="80">
        <v>0</v>
      </c>
      <c r="BY76" s="80">
        <v>0</v>
      </c>
      <c r="BZ76" s="80">
        <v>0</v>
      </c>
      <c r="CA76" s="115">
        <f>'[8]FY20 Initial Budget Allocat (2)'!CA76/'FY20 Initial Budget Allocat FTE'!CA$121</f>
        <v>0</v>
      </c>
      <c r="CB76" s="115">
        <f>'[8]FY20 Initial Budget Allocat (2)'!CB76/'FY20 Initial Budget Allocat FTE'!CB$121</f>
        <v>0</v>
      </c>
      <c r="CC76" s="80">
        <v>0</v>
      </c>
      <c r="CD76" s="115">
        <f>'[8]FY20 Initial Budget Allocat (2)'!CD76/'FY20 Initial Budget Allocat FTE'!CD$121</f>
        <v>0</v>
      </c>
      <c r="CE76" s="115">
        <f>'[8]FY20 Initial Budget Allocat (2)'!CE76/'FY20 Initial Budget Allocat FTE'!CE$121</f>
        <v>0</v>
      </c>
      <c r="CF76" s="115">
        <f>'[8]FY20 Initial Budget Allocat (2)'!CF76/'FY20 Initial Budget Allocat FTE'!CF$121</f>
        <v>0</v>
      </c>
      <c r="CG76" s="115">
        <f>'[8]FY20 Initial Budget Allocat (2)'!CG76/'FY20 Initial Budget Allocat FTE'!CG$121</f>
        <v>0</v>
      </c>
      <c r="CH76" s="115">
        <f>'[8]FY20 Initial Budget Allocat (2)'!CH76/'FY20 Initial Budget Allocat FTE'!CH$121</f>
        <v>0</v>
      </c>
      <c r="CI76" s="115">
        <f>'[8]FY20 Initial Budget Allocat (2)'!CI76/'FY20 Initial Budget Allocat FTE'!CI$121</f>
        <v>0</v>
      </c>
      <c r="CJ76" s="115">
        <f>'[8]FY20 Initial Budget Allocat (2)'!CJ76/'FY20 Initial Budget Allocat FTE'!CJ$121</f>
        <v>0</v>
      </c>
      <c r="CK76" s="79">
        <v>0</v>
      </c>
      <c r="CL76" s="79">
        <v>0</v>
      </c>
      <c r="CM76" s="79">
        <v>108165.6</v>
      </c>
      <c r="CN76" s="79">
        <v>0</v>
      </c>
      <c r="CO76" s="115">
        <f>'[8]FY20 Initial Budget Allocat (2)'!CO76/'FY20 Initial Budget Allocat FTE'!CO$121</f>
        <v>0</v>
      </c>
      <c r="CP76" s="79">
        <v>0</v>
      </c>
      <c r="CQ76" s="79">
        <v>14039.334916864607</v>
      </c>
      <c r="CR76" s="79">
        <v>166040</v>
      </c>
      <c r="CS76" s="79">
        <v>24890.5</v>
      </c>
      <c r="CT76" s="115">
        <f>'[8]FY20 Initial Budget Allocat (2)'!CT76/'FY20 Initial Budget Allocat FTE'!CT$121</f>
        <v>0</v>
      </c>
      <c r="CU76" s="115">
        <f>'[8]FY20 Initial Budget Allocat (2)'!CU76/'FY20 Initial Budget Allocat FTE'!CU$121</f>
        <v>0</v>
      </c>
      <c r="CV76" s="79"/>
      <c r="CW76" s="79">
        <v>0</v>
      </c>
      <c r="CX76" s="115">
        <f>'[8]FY20 Initial Budget Allocat (2)'!CX76/'FY20 Initial Budget Allocat FTE'!CX$121</f>
        <v>0</v>
      </c>
      <c r="CY76" s="79">
        <v>0</v>
      </c>
      <c r="CZ76" s="79">
        <v>0</v>
      </c>
      <c r="DA76" s="79">
        <v>44000</v>
      </c>
      <c r="DB76" s="79">
        <v>85173.036527512682</v>
      </c>
      <c r="DC76" s="82">
        <v>0</v>
      </c>
      <c r="DD76" s="79">
        <v>0</v>
      </c>
      <c r="DE76" s="79"/>
      <c r="DF76" s="79">
        <v>27300</v>
      </c>
      <c r="DG76" s="79">
        <v>0</v>
      </c>
      <c r="DH76" s="83">
        <v>0</v>
      </c>
      <c r="DI76" s="79">
        <v>13156.664835088532</v>
      </c>
      <c r="DJ76" s="79">
        <v>5788932.5274389545</v>
      </c>
      <c r="DK76" s="84">
        <v>64724.47256104555</v>
      </c>
      <c r="DL76" s="84">
        <v>0</v>
      </c>
      <c r="DM76" s="84">
        <f t="shared" si="6"/>
        <v>5853657</v>
      </c>
      <c r="DN76" s="116">
        <f t="shared" si="7"/>
        <v>9.0000000000000018</v>
      </c>
      <c r="DO76" s="116">
        <f t="shared" si="8"/>
        <v>9</v>
      </c>
      <c r="DP76" s="116">
        <f t="shared" si="9"/>
        <v>14.000000000000002</v>
      </c>
      <c r="DQ76" s="116">
        <f t="shared" si="10"/>
        <v>7.0909090909090908</v>
      </c>
      <c r="DR76" s="116">
        <f t="shared" si="11"/>
        <v>1</v>
      </c>
    </row>
    <row r="77" spans="1:122" x14ac:dyDescent="0.25">
      <c r="A77" s="76">
        <v>292</v>
      </c>
      <c r="B77" s="76" t="s">
        <v>216</v>
      </c>
      <c r="C77" s="77" t="s">
        <v>150</v>
      </c>
      <c r="D77" s="41">
        <v>3</v>
      </c>
      <c r="E77" s="78">
        <v>712</v>
      </c>
      <c r="F77" s="78">
        <v>83.119170104755597</v>
      </c>
      <c r="G77" s="115">
        <f>'[8]FY20 Initial Budget Allocat (2)'!G77/'FY20 Initial Budget Allocat FTE'!G$121</f>
        <v>1</v>
      </c>
      <c r="H77" s="115">
        <f>'[8]FY20 Initial Budget Allocat (2)'!H77/'FY20 Initial Budget Allocat FTE'!H$121</f>
        <v>2</v>
      </c>
      <c r="I77" s="115">
        <f>'[8]FY20 Initial Budget Allocat (2)'!I77/'FY20 Initial Budget Allocat FTE'!I$121</f>
        <v>2</v>
      </c>
      <c r="J77" s="115">
        <f>'[8]FY20 Initial Budget Allocat (2)'!J77/'FY20 Initial Budget Allocat FTE'!J$121</f>
        <v>1</v>
      </c>
      <c r="K77" s="115">
        <f>'[8]FY20 Initial Budget Allocat (2)'!K77/'FY20 Initial Budget Allocat FTE'!K$121</f>
        <v>0</v>
      </c>
      <c r="L77" s="115">
        <f>'[8]FY20 Initial Budget Allocat (2)'!L77/'FY20 Initial Budget Allocat FTE'!L$121</f>
        <v>1</v>
      </c>
      <c r="M77" s="115">
        <f>'[8]FY20 Initial Budget Allocat (2)'!M77/'FY20 Initial Budget Allocat FTE'!M$121</f>
        <v>1</v>
      </c>
      <c r="N77" s="115">
        <f>'[8]FY20 Initial Budget Allocat (2)'!N77/'FY20 Initial Budget Allocat FTE'!N$121</f>
        <v>1.8</v>
      </c>
      <c r="O77" s="115">
        <f>'[8]FY20 Initial Budget Allocat (2)'!O77/'FY20 Initial Budget Allocat FTE'!O$121</f>
        <v>0</v>
      </c>
      <c r="P77" s="115">
        <f>'[8]FY20 Initial Budget Allocat (2)'!P77/'FY20 Initial Budget Allocat FTE'!P$121</f>
        <v>0</v>
      </c>
      <c r="Q77" s="115">
        <f>'[8]FY20 Initial Budget Allocat (2)'!Q77/'FY20 Initial Budget Allocat FTE'!Q$121</f>
        <v>0</v>
      </c>
      <c r="R77" s="115">
        <f>'[8]FY20 Initial Budget Allocat (2)'!R77/'FY20 Initial Budget Allocat FTE'!R$121</f>
        <v>1</v>
      </c>
      <c r="S77" s="115">
        <f>'[8]FY20 Initial Budget Allocat (2)'!S77/'FY20 Initial Budget Allocat FTE'!S$121</f>
        <v>1</v>
      </c>
      <c r="T77" s="115">
        <f>'[8]FY20 Initial Budget Allocat (2)'!T77/'FY20 Initial Budget Allocat FTE'!T$121</f>
        <v>4</v>
      </c>
      <c r="U77" s="115">
        <f>'[8]FY20 Initial Budget Allocat (2)'!U77/'FY20 Initial Budget Allocat FTE'!U$121</f>
        <v>2</v>
      </c>
      <c r="V77" s="115">
        <f>'[8]FY20 Initial Budget Allocat (2)'!V77/'FY20 Initial Budget Allocat FTE'!V$121</f>
        <v>1</v>
      </c>
      <c r="W77" s="115">
        <f>'[8]FY20 Initial Budget Allocat (2)'!W77/'FY20 Initial Budget Allocat FTE'!W$121</f>
        <v>1</v>
      </c>
      <c r="X77" s="115">
        <f>'[8]FY20 Initial Budget Allocat (2)'!X77/'FY20 Initial Budget Allocat FTE'!X$121</f>
        <v>1</v>
      </c>
      <c r="Y77" s="115">
        <f>'[8]FY20 Initial Budget Allocat (2)'!Y77/'FY20 Initial Budget Allocat FTE'!Y$121</f>
        <v>2.4999999999999982</v>
      </c>
      <c r="Z77" s="115">
        <f>'[8]FY20 Initial Budget Allocat (2)'!Z77/'FY20 Initial Budget Allocat FTE'!Z$121</f>
        <v>1</v>
      </c>
      <c r="AA77" s="115">
        <f>'[8]FY20 Initial Budget Allocat (2)'!AA77/'FY20 Initial Budget Allocat FTE'!AA$121</f>
        <v>0</v>
      </c>
      <c r="AB77" s="115">
        <f>'[8]FY20 Initial Budget Allocat (2)'!AB77/'FY20 Initial Budget Allocat FTE'!AB$121</f>
        <v>0</v>
      </c>
      <c r="AC77" s="115">
        <f>'[8]FY20 Initial Budget Allocat (2)'!AC77/'FY20 Initial Budget Allocat FTE'!AC$121</f>
        <v>0</v>
      </c>
      <c r="AD77" s="115">
        <f>'[8]FY20 Initial Budget Allocat (2)'!AD77/'FY20 Initial Budget Allocat FTE'!AD$121</f>
        <v>0</v>
      </c>
      <c r="AE77" s="115">
        <f>'[8]FY20 Initial Budget Allocat (2)'!AE77/'FY20 Initial Budget Allocat FTE'!AE$121</f>
        <v>2</v>
      </c>
      <c r="AF77" s="115">
        <f>'[8]FY20 Initial Budget Allocat (2)'!AF77/'FY20 Initial Budget Allocat FTE'!AF$121</f>
        <v>2</v>
      </c>
      <c r="AG77" s="115">
        <f>'[8]FY20 Initial Budget Allocat (2)'!AG77/'FY20 Initial Budget Allocat FTE'!AG$121</f>
        <v>3.0000000000000004</v>
      </c>
      <c r="AH77" s="115">
        <f>'[8]FY20 Initial Budget Allocat (2)'!AH77/'FY20 Initial Budget Allocat FTE'!AH$121</f>
        <v>3</v>
      </c>
      <c r="AI77" s="115">
        <f>'[8]FY20 Initial Budget Allocat (2)'!AI77/'FY20 Initial Budget Allocat FTE'!AI$121</f>
        <v>4</v>
      </c>
      <c r="AJ77" s="115">
        <f>'[8]FY20 Initial Budget Allocat (2)'!AJ77/'FY20 Initial Budget Allocat FTE'!AJ$121</f>
        <v>4</v>
      </c>
      <c r="AK77" s="115">
        <f>'[8]FY20 Initial Budget Allocat (2)'!AK77/'FY20 Initial Budget Allocat FTE'!AK$121</f>
        <v>3.0000000000000004</v>
      </c>
      <c r="AL77" s="115">
        <f>'[8]FY20 Initial Budget Allocat (2)'!AL77/'FY20 Initial Budget Allocat FTE'!AL$121</f>
        <v>4</v>
      </c>
      <c r="AM77" s="115">
        <f>'[8]FY20 Initial Budget Allocat (2)'!AM77/'FY20 Initial Budget Allocat FTE'!AM$121</f>
        <v>3.0000000000000004</v>
      </c>
      <c r="AN77" s="115">
        <f>'[8]FY20 Initial Budget Allocat (2)'!AN77/'FY20 Initial Budget Allocat FTE'!AN$121</f>
        <v>3.8</v>
      </c>
      <c r="AO77" s="115">
        <f>'[8]FY20 Initial Budget Allocat (2)'!AO77/'FY20 Initial Budget Allocat FTE'!AO$121</f>
        <v>3.9</v>
      </c>
      <c r="AP77" s="115">
        <f>'[8]FY20 Initial Budget Allocat (2)'!AP77/'FY20 Initial Budget Allocat FTE'!AP$121</f>
        <v>3.8</v>
      </c>
      <c r="AQ77" s="115">
        <f>'[8]FY20 Initial Budget Allocat (2)'!AQ77/'FY20 Initial Budget Allocat FTE'!AQ$121</f>
        <v>0</v>
      </c>
      <c r="AR77" s="115">
        <f>'[8]FY20 Initial Budget Allocat (2)'!AR77/'FY20 Initial Budget Allocat FTE'!AR$121</f>
        <v>0</v>
      </c>
      <c r="AS77" s="115">
        <f>'[8]FY20 Initial Budget Allocat (2)'!AS77/'FY20 Initial Budget Allocat FTE'!AS$121</f>
        <v>0</v>
      </c>
      <c r="AT77" s="115">
        <f>'[8]FY20 Initial Budget Allocat (2)'!AT77/'FY20 Initial Budget Allocat FTE'!AT$121</f>
        <v>0</v>
      </c>
      <c r="AU77" s="115">
        <f>'[8]FY20 Initial Budget Allocat (2)'!AU77/'FY20 Initial Budget Allocat FTE'!AU$121</f>
        <v>0</v>
      </c>
      <c r="AV77" s="115">
        <f>'[8]FY20 Initial Budget Allocat (2)'!AV77/'FY20 Initial Budget Allocat FTE'!AV$121</f>
        <v>0</v>
      </c>
      <c r="AW77" s="115">
        <f>'[8]FY20 Initial Budget Allocat (2)'!AW77/'FY20 Initial Budget Allocat FTE'!AW$121</f>
        <v>0</v>
      </c>
      <c r="AX77" s="115">
        <f>'[8]FY20 Initial Budget Allocat (2)'!AX77/'FY20 Initial Budget Allocat FTE'!AX$121</f>
        <v>1</v>
      </c>
      <c r="AY77" s="115">
        <f>'[8]FY20 Initial Budget Allocat (2)'!AY77/'FY20 Initial Budget Allocat FTE'!AY$121</f>
        <v>2</v>
      </c>
      <c r="AZ77" s="115">
        <f>'[8]FY20 Initial Budget Allocat (2)'!AZ77/'FY20 Initial Budget Allocat FTE'!AZ$121</f>
        <v>8</v>
      </c>
      <c r="BA77" s="115">
        <f>'[8]FY20 Initial Budget Allocat (2)'!BA77/'FY20 Initial Budget Allocat FTE'!BA$121</f>
        <v>1</v>
      </c>
      <c r="BB77" s="115">
        <f>'[8]FY20 Initial Budget Allocat (2)'!BB77/'FY20 Initial Budget Allocat FTE'!BB$121</f>
        <v>0</v>
      </c>
      <c r="BC77" s="115">
        <f>'[8]FY20 Initial Budget Allocat (2)'!BC77/'FY20 Initial Budget Allocat FTE'!BC$121</f>
        <v>0</v>
      </c>
      <c r="BD77" s="115">
        <f>'[8]FY20 Initial Budget Allocat (2)'!BD77/'FY20 Initial Budget Allocat FTE'!BD$121</f>
        <v>8</v>
      </c>
      <c r="BE77" s="115">
        <f>'[8]FY20 Initial Budget Allocat (2)'!BE77/'FY20 Initial Budget Allocat FTE'!BE$121</f>
        <v>0</v>
      </c>
      <c r="BF77" s="115">
        <f>'[8]FY20 Initial Budget Allocat (2)'!BF77/'FY20 Initial Budget Allocat FTE'!BF$121</f>
        <v>1</v>
      </c>
      <c r="BG77" s="115">
        <f>'[8]FY20 Initial Budget Allocat (2)'!BG77/'FY20 Initial Budget Allocat FTE'!BG$121</f>
        <v>0</v>
      </c>
      <c r="BH77" s="115">
        <f>'[8]FY20 Initial Budget Allocat (2)'!BH77/'FY20 Initial Budget Allocat FTE'!BH$121</f>
        <v>0</v>
      </c>
      <c r="BI77" s="115">
        <f>'[8]FY20 Initial Budget Allocat (2)'!BI77/'FY20 Initial Budget Allocat FTE'!BI$121</f>
        <v>0</v>
      </c>
      <c r="BJ77" s="79"/>
      <c r="BK77" s="79">
        <v>0</v>
      </c>
      <c r="BL77" s="79"/>
      <c r="BM77" s="79">
        <v>0</v>
      </c>
      <c r="BN77" s="79">
        <v>0</v>
      </c>
      <c r="BO77" s="79">
        <v>16925</v>
      </c>
      <c r="BP77" s="115">
        <f>'[8]FY20 Initial Budget Allocat (2)'!BP77/'FY20 Initial Budget Allocat FTE'!BP$121</f>
        <v>0</v>
      </c>
      <c r="BQ77" s="115">
        <f>'[8]FY20 Initial Budget Allocat (2)'!BQ77/'FY20 Initial Budget Allocat FTE'!BQ$121</f>
        <v>0</v>
      </c>
      <c r="BR77" s="115">
        <f>'[8]FY20 Initial Budget Allocat (2)'!BR77/'FY20 Initial Budget Allocat FTE'!BR$121</f>
        <v>0</v>
      </c>
      <c r="BS77" s="115">
        <f>'[8]FY20 Initial Budget Allocat (2)'!BS77/'FY20 Initial Budget Allocat FTE'!BS$121</f>
        <v>0</v>
      </c>
      <c r="BT77" s="115">
        <f>'[8]FY20 Initial Budget Allocat (2)'!BT77/'FY20 Initial Budget Allocat FTE'!BT$121</f>
        <v>0</v>
      </c>
      <c r="BU77" s="115">
        <f>'[8]FY20 Initial Budget Allocat (2)'!BU77/'FY20 Initial Budget Allocat FTE'!BU$121</f>
        <v>0</v>
      </c>
      <c r="BV77" s="115">
        <f>'[8]FY20 Initial Budget Allocat (2)'!BV77/'FY20 Initial Budget Allocat FTE'!BV$121</f>
        <v>0</v>
      </c>
      <c r="BW77" s="80">
        <v>0</v>
      </c>
      <c r="BX77" s="80">
        <v>0</v>
      </c>
      <c r="BY77" s="80">
        <v>0</v>
      </c>
      <c r="BZ77" s="80">
        <v>0</v>
      </c>
      <c r="CA77" s="115">
        <f>'[8]FY20 Initial Budget Allocat (2)'!CA77/'FY20 Initial Budget Allocat FTE'!CA$121</f>
        <v>0</v>
      </c>
      <c r="CB77" s="115">
        <f>'[8]FY20 Initial Budget Allocat (2)'!CB77/'FY20 Initial Budget Allocat FTE'!CB$121</f>
        <v>0</v>
      </c>
      <c r="CC77" s="80">
        <v>0</v>
      </c>
      <c r="CD77" s="115">
        <f>'[8]FY20 Initial Budget Allocat (2)'!CD77/'FY20 Initial Budget Allocat FTE'!CD$121</f>
        <v>0</v>
      </c>
      <c r="CE77" s="115">
        <f>'[8]FY20 Initial Budget Allocat (2)'!CE77/'FY20 Initial Budget Allocat FTE'!CE$121</f>
        <v>0</v>
      </c>
      <c r="CF77" s="115">
        <f>'[8]FY20 Initial Budget Allocat (2)'!CF77/'FY20 Initial Budget Allocat FTE'!CF$121</f>
        <v>0</v>
      </c>
      <c r="CG77" s="115">
        <f>'[8]FY20 Initial Budget Allocat (2)'!CG77/'FY20 Initial Budget Allocat FTE'!CG$121</f>
        <v>0</v>
      </c>
      <c r="CH77" s="115">
        <f>'[8]FY20 Initial Budget Allocat (2)'!CH77/'FY20 Initial Budget Allocat FTE'!CH$121</f>
        <v>0</v>
      </c>
      <c r="CI77" s="115">
        <f>'[8]FY20 Initial Budget Allocat (2)'!CI77/'FY20 Initial Budget Allocat FTE'!CI$121</f>
        <v>2</v>
      </c>
      <c r="CJ77" s="115">
        <f>'[8]FY20 Initial Budget Allocat (2)'!CJ77/'FY20 Initial Budget Allocat FTE'!CJ$121</f>
        <v>0</v>
      </c>
      <c r="CK77" s="79">
        <v>23000</v>
      </c>
      <c r="CL77" s="79">
        <v>5000</v>
      </c>
      <c r="CM77" s="79">
        <v>189289.8</v>
      </c>
      <c r="CN77" s="79">
        <v>100000</v>
      </c>
      <c r="CO77" s="115">
        <f>'[8]FY20 Initial Budget Allocat (2)'!CO77/'FY20 Initial Budget Allocat FTE'!CO$121</f>
        <v>0</v>
      </c>
      <c r="CP77" s="79">
        <v>0</v>
      </c>
      <c r="CQ77" s="79">
        <v>0</v>
      </c>
      <c r="CR77" s="79">
        <v>0</v>
      </c>
      <c r="CS77" s="79">
        <v>41543.594065281897</v>
      </c>
      <c r="CT77" s="115">
        <f>'[8]FY20 Initial Budget Allocat (2)'!CT77/'FY20 Initial Budget Allocat FTE'!CT$121</f>
        <v>0</v>
      </c>
      <c r="CU77" s="115">
        <f>'[8]FY20 Initial Budget Allocat (2)'!CU77/'FY20 Initial Budget Allocat FTE'!CU$121</f>
        <v>0</v>
      </c>
      <c r="CV77" s="79"/>
      <c r="CW77" s="79">
        <v>0</v>
      </c>
      <c r="CX77" s="115">
        <f>'[8]FY20 Initial Budget Allocat (2)'!CX77/'FY20 Initial Budget Allocat FTE'!CX$121</f>
        <v>0</v>
      </c>
      <c r="CY77" s="79">
        <v>0</v>
      </c>
      <c r="CZ77" s="79">
        <v>0</v>
      </c>
      <c r="DA77" s="79">
        <v>71200</v>
      </c>
      <c r="DB77" s="79">
        <v>140411.88116155192</v>
      </c>
      <c r="DC77" s="82">
        <v>0</v>
      </c>
      <c r="DD77" s="79">
        <v>500000</v>
      </c>
      <c r="DE77" s="79"/>
      <c r="DF77" s="79">
        <v>7200</v>
      </c>
      <c r="DG77" s="79">
        <v>0</v>
      </c>
      <c r="DH77" s="83">
        <v>0</v>
      </c>
      <c r="DI77" s="79">
        <v>13645.793721884285</v>
      </c>
      <c r="DJ77" s="79">
        <v>9715805.1299816146</v>
      </c>
      <c r="DK77" s="84">
        <v>26086.870018385351</v>
      </c>
      <c r="DL77" s="84">
        <v>0</v>
      </c>
      <c r="DM77" s="84">
        <f t="shared" si="6"/>
        <v>9741892</v>
      </c>
      <c r="DN77" s="116">
        <f t="shared" si="7"/>
        <v>5</v>
      </c>
      <c r="DO77" s="116">
        <f t="shared" si="8"/>
        <v>5</v>
      </c>
      <c r="DP77" s="116">
        <f t="shared" si="9"/>
        <v>29.5</v>
      </c>
      <c r="DQ77" s="116">
        <f t="shared" si="10"/>
        <v>20</v>
      </c>
      <c r="DR77" s="116">
        <f t="shared" si="11"/>
        <v>1</v>
      </c>
    </row>
    <row r="78" spans="1:122" x14ac:dyDescent="0.25">
      <c r="A78" s="76">
        <v>294</v>
      </c>
      <c r="B78" s="76" t="s">
        <v>217</v>
      </c>
      <c r="C78" s="77" t="s">
        <v>135</v>
      </c>
      <c r="D78" s="41">
        <v>8</v>
      </c>
      <c r="E78" s="78">
        <v>384</v>
      </c>
      <c r="F78" s="78">
        <v>343</v>
      </c>
      <c r="G78" s="115">
        <f>'[8]FY20 Initial Budget Allocat (2)'!G78/'FY20 Initial Budget Allocat FTE'!G$121</f>
        <v>1</v>
      </c>
      <c r="H78" s="115">
        <f>'[8]FY20 Initial Budget Allocat (2)'!H78/'FY20 Initial Budget Allocat FTE'!H$121</f>
        <v>1</v>
      </c>
      <c r="I78" s="115">
        <f>'[8]FY20 Initial Budget Allocat (2)'!I78/'FY20 Initial Budget Allocat FTE'!I$121</f>
        <v>1</v>
      </c>
      <c r="J78" s="115">
        <f>'[8]FY20 Initial Budget Allocat (2)'!J78/'FY20 Initial Budget Allocat FTE'!J$121</f>
        <v>0</v>
      </c>
      <c r="K78" s="115">
        <f>'[8]FY20 Initial Budget Allocat (2)'!K78/'FY20 Initial Budget Allocat FTE'!K$121</f>
        <v>0</v>
      </c>
      <c r="L78" s="115">
        <f>'[8]FY20 Initial Budget Allocat (2)'!L78/'FY20 Initial Budget Allocat FTE'!L$121</f>
        <v>1</v>
      </c>
      <c r="M78" s="115">
        <f>'[8]FY20 Initial Budget Allocat (2)'!M78/'FY20 Initial Budget Allocat FTE'!M$121</f>
        <v>1</v>
      </c>
      <c r="N78" s="115">
        <f>'[8]FY20 Initial Budget Allocat (2)'!N78/'FY20 Initial Budget Allocat FTE'!N$121</f>
        <v>0</v>
      </c>
      <c r="O78" s="115">
        <f>'[8]FY20 Initial Budget Allocat (2)'!O78/'FY20 Initial Budget Allocat FTE'!O$121</f>
        <v>0</v>
      </c>
      <c r="P78" s="115">
        <f>'[8]FY20 Initial Budget Allocat (2)'!P78/'FY20 Initial Budget Allocat FTE'!P$121</f>
        <v>0</v>
      </c>
      <c r="Q78" s="115">
        <f>'[8]FY20 Initial Budget Allocat (2)'!Q78/'FY20 Initial Budget Allocat FTE'!Q$121</f>
        <v>0</v>
      </c>
      <c r="R78" s="115">
        <f>'[8]FY20 Initial Budget Allocat (2)'!R78/'FY20 Initial Budget Allocat FTE'!R$121</f>
        <v>1</v>
      </c>
      <c r="S78" s="115">
        <f>'[8]FY20 Initial Budget Allocat (2)'!S78/'FY20 Initial Budget Allocat FTE'!S$121</f>
        <v>1</v>
      </c>
      <c r="T78" s="115">
        <f>'[8]FY20 Initial Budget Allocat (2)'!T78/'FY20 Initial Budget Allocat FTE'!T$121</f>
        <v>2</v>
      </c>
      <c r="U78" s="115">
        <f>'[8]FY20 Initial Budget Allocat (2)'!U78/'FY20 Initial Budget Allocat FTE'!U$121</f>
        <v>1</v>
      </c>
      <c r="V78" s="115">
        <f>'[8]FY20 Initial Budget Allocat (2)'!V78/'FY20 Initial Budget Allocat FTE'!V$121</f>
        <v>1</v>
      </c>
      <c r="W78" s="115">
        <f>'[8]FY20 Initial Budget Allocat (2)'!W78/'FY20 Initial Budget Allocat FTE'!W$121</f>
        <v>1</v>
      </c>
      <c r="X78" s="115">
        <f>'[8]FY20 Initial Budget Allocat (2)'!X78/'FY20 Initial Budget Allocat FTE'!X$121</f>
        <v>1</v>
      </c>
      <c r="Y78" s="115">
        <f>'[8]FY20 Initial Budget Allocat (2)'!Y78/'FY20 Initial Budget Allocat FTE'!Y$121</f>
        <v>4.5343756564623952E-15</v>
      </c>
      <c r="Z78" s="115">
        <f>'[8]FY20 Initial Budget Allocat (2)'!Z78/'FY20 Initial Budget Allocat FTE'!Z$121</f>
        <v>1.5000000000000002</v>
      </c>
      <c r="AA78" s="115">
        <f>'[8]FY20 Initial Budget Allocat (2)'!AA78/'FY20 Initial Budget Allocat FTE'!AA$121</f>
        <v>2</v>
      </c>
      <c r="AB78" s="115">
        <f>'[8]FY20 Initial Budget Allocat (2)'!AB78/'FY20 Initial Budget Allocat FTE'!AB$121</f>
        <v>2</v>
      </c>
      <c r="AC78" s="115">
        <f>'[8]FY20 Initial Budget Allocat (2)'!AC78/'FY20 Initial Budget Allocat FTE'!AC$121</f>
        <v>0</v>
      </c>
      <c r="AD78" s="115">
        <f>'[8]FY20 Initial Budget Allocat (2)'!AD78/'FY20 Initial Budget Allocat FTE'!AD$121</f>
        <v>0</v>
      </c>
      <c r="AE78" s="115">
        <f>'[8]FY20 Initial Budget Allocat (2)'!AE78/'FY20 Initial Budget Allocat FTE'!AE$121</f>
        <v>2</v>
      </c>
      <c r="AF78" s="115">
        <f>'[8]FY20 Initial Budget Allocat (2)'!AF78/'FY20 Initial Budget Allocat FTE'!AF$121</f>
        <v>2</v>
      </c>
      <c r="AG78" s="115">
        <f>'[8]FY20 Initial Budget Allocat (2)'!AG78/'FY20 Initial Budget Allocat FTE'!AG$121</f>
        <v>3.0000000000000004</v>
      </c>
      <c r="AH78" s="115">
        <f>'[8]FY20 Initial Budget Allocat (2)'!AH78/'FY20 Initial Budget Allocat FTE'!AH$121</f>
        <v>3</v>
      </c>
      <c r="AI78" s="115">
        <f>'[8]FY20 Initial Budget Allocat (2)'!AI78/'FY20 Initial Budget Allocat FTE'!AI$121</f>
        <v>3.0000000000000004</v>
      </c>
      <c r="AJ78" s="115">
        <f>'[8]FY20 Initial Budget Allocat (2)'!AJ78/'FY20 Initial Budget Allocat FTE'!AJ$121</f>
        <v>3.0000000000000004</v>
      </c>
      <c r="AK78" s="115">
        <f>'[8]FY20 Initial Budget Allocat (2)'!AK78/'FY20 Initial Budget Allocat FTE'!AK$121</f>
        <v>3.0000000000000004</v>
      </c>
      <c r="AL78" s="115">
        <f>'[8]FY20 Initial Budget Allocat (2)'!AL78/'FY20 Initial Budget Allocat FTE'!AL$121</f>
        <v>2</v>
      </c>
      <c r="AM78" s="115">
        <f>'[8]FY20 Initial Budget Allocat (2)'!AM78/'FY20 Initial Budget Allocat FTE'!AM$121</f>
        <v>3.0000000000000004</v>
      </c>
      <c r="AN78" s="115">
        <f>'[8]FY20 Initial Budget Allocat (2)'!AN78/'FY20 Initial Budget Allocat FTE'!AN$121</f>
        <v>0</v>
      </c>
      <c r="AO78" s="115">
        <f>'[8]FY20 Initial Budget Allocat (2)'!AO78/'FY20 Initial Budget Allocat FTE'!AO$121</f>
        <v>0</v>
      </c>
      <c r="AP78" s="115">
        <f>'[8]FY20 Initial Budget Allocat (2)'!AP78/'FY20 Initial Budget Allocat FTE'!AP$121</f>
        <v>0</v>
      </c>
      <c r="AQ78" s="115">
        <f>'[8]FY20 Initial Budget Allocat (2)'!AQ78/'FY20 Initial Budget Allocat FTE'!AQ$121</f>
        <v>0</v>
      </c>
      <c r="AR78" s="115">
        <f>'[8]FY20 Initial Budget Allocat (2)'!AR78/'FY20 Initial Budget Allocat FTE'!AR$121</f>
        <v>0</v>
      </c>
      <c r="AS78" s="115">
        <f>'[8]FY20 Initial Budget Allocat (2)'!AS78/'FY20 Initial Budget Allocat FTE'!AS$121</f>
        <v>0</v>
      </c>
      <c r="AT78" s="115">
        <f>'[8]FY20 Initial Budget Allocat (2)'!AT78/'FY20 Initial Budget Allocat FTE'!AT$121</f>
        <v>0</v>
      </c>
      <c r="AU78" s="115">
        <f>'[8]FY20 Initial Budget Allocat (2)'!AU78/'FY20 Initial Budget Allocat FTE'!AU$121</f>
        <v>0</v>
      </c>
      <c r="AV78" s="115">
        <f>'[8]FY20 Initial Budget Allocat (2)'!AV78/'FY20 Initial Budget Allocat FTE'!AV$121</f>
        <v>0</v>
      </c>
      <c r="AW78" s="115">
        <f>'[8]FY20 Initial Budget Allocat (2)'!AW78/'FY20 Initial Budget Allocat FTE'!AW$121</f>
        <v>0</v>
      </c>
      <c r="AX78" s="115">
        <f>'[8]FY20 Initial Budget Allocat (2)'!AX78/'FY20 Initial Budget Allocat FTE'!AX$121</f>
        <v>1</v>
      </c>
      <c r="AY78" s="115">
        <f>'[8]FY20 Initial Budget Allocat (2)'!AY78/'FY20 Initial Budget Allocat FTE'!AY$121</f>
        <v>1</v>
      </c>
      <c r="AZ78" s="115">
        <f>'[8]FY20 Initial Budget Allocat (2)'!AZ78/'FY20 Initial Budget Allocat FTE'!AZ$121</f>
        <v>9</v>
      </c>
      <c r="BA78" s="115">
        <f>'[8]FY20 Initial Budget Allocat (2)'!BA78/'FY20 Initial Budget Allocat FTE'!BA$121</f>
        <v>9</v>
      </c>
      <c r="BB78" s="115">
        <f>'[8]FY20 Initial Budget Allocat (2)'!BB78/'FY20 Initial Budget Allocat FTE'!BB$121</f>
        <v>0</v>
      </c>
      <c r="BC78" s="115">
        <f>'[8]FY20 Initial Budget Allocat (2)'!BC78/'FY20 Initial Budget Allocat FTE'!BC$121</f>
        <v>0</v>
      </c>
      <c r="BD78" s="115">
        <f>'[8]FY20 Initial Budget Allocat (2)'!BD78/'FY20 Initial Budget Allocat FTE'!BD$121</f>
        <v>0</v>
      </c>
      <c r="BE78" s="115">
        <f>'[8]FY20 Initial Budget Allocat (2)'!BE78/'FY20 Initial Budget Allocat FTE'!BE$121</f>
        <v>0</v>
      </c>
      <c r="BF78" s="115">
        <f>'[8]FY20 Initial Budget Allocat (2)'!BF78/'FY20 Initial Budget Allocat FTE'!BF$121</f>
        <v>0</v>
      </c>
      <c r="BG78" s="115">
        <f>'[8]FY20 Initial Budget Allocat (2)'!BG78/'FY20 Initial Budget Allocat FTE'!BG$121</f>
        <v>2.0628967591045773</v>
      </c>
      <c r="BH78" s="115">
        <f>'[8]FY20 Initial Budget Allocat (2)'!BH78/'FY20 Initial Budget Allocat FTE'!BH$121</f>
        <v>8</v>
      </c>
      <c r="BI78" s="115">
        <f>'[8]FY20 Initial Budget Allocat (2)'!BI78/'FY20 Initial Budget Allocat FTE'!BI$121</f>
        <v>1</v>
      </c>
      <c r="BJ78" s="79"/>
      <c r="BK78" s="79">
        <v>0</v>
      </c>
      <c r="BL78" s="79">
        <v>35539.5</v>
      </c>
      <c r="BM78" s="79">
        <v>177795.54</v>
      </c>
      <c r="BN78" s="79">
        <v>2829.19</v>
      </c>
      <c r="BO78" s="79">
        <v>0</v>
      </c>
      <c r="BP78" s="115">
        <f>'[8]FY20 Initial Budget Allocat (2)'!BP78/'FY20 Initial Budget Allocat FTE'!BP$121</f>
        <v>0</v>
      </c>
      <c r="BQ78" s="115">
        <f>'[8]FY20 Initial Budget Allocat (2)'!BQ78/'FY20 Initial Budget Allocat FTE'!BQ$121</f>
        <v>0</v>
      </c>
      <c r="BR78" s="115">
        <f>'[8]FY20 Initial Budget Allocat (2)'!BR78/'FY20 Initial Budget Allocat FTE'!BR$121</f>
        <v>0</v>
      </c>
      <c r="BS78" s="115">
        <f>'[8]FY20 Initial Budget Allocat (2)'!BS78/'FY20 Initial Budget Allocat FTE'!BS$121</f>
        <v>0</v>
      </c>
      <c r="BT78" s="115">
        <f>'[8]FY20 Initial Budget Allocat (2)'!BT78/'FY20 Initial Budget Allocat FTE'!BT$121</f>
        <v>1</v>
      </c>
      <c r="BU78" s="115">
        <f>'[8]FY20 Initial Budget Allocat (2)'!BU78/'FY20 Initial Budget Allocat FTE'!BU$121</f>
        <v>0</v>
      </c>
      <c r="BV78" s="115">
        <f>'[8]FY20 Initial Budget Allocat (2)'!BV78/'FY20 Initial Budget Allocat FTE'!BV$121</f>
        <v>0</v>
      </c>
      <c r="BW78" s="80">
        <v>0</v>
      </c>
      <c r="BX78" s="80">
        <v>0</v>
      </c>
      <c r="BY78" s="80">
        <v>0</v>
      </c>
      <c r="BZ78" s="80">
        <v>0</v>
      </c>
      <c r="CA78" s="115">
        <f>'[8]FY20 Initial Budget Allocat (2)'!CA78/'FY20 Initial Budget Allocat FTE'!CA$121</f>
        <v>1</v>
      </c>
      <c r="CB78" s="115">
        <f>'[8]FY20 Initial Budget Allocat (2)'!CB78/'FY20 Initial Budget Allocat FTE'!CB$121</f>
        <v>0</v>
      </c>
      <c r="CC78" s="80">
        <v>0</v>
      </c>
      <c r="CD78" s="115">
        <f>'[8]FY20 Initial Budget Allocat (2)'!CD78/'FY20 Initial Budget Allocat FTE'!CD$121</f>
        <v>0</v>
      </c>
      <c r="CE78" s="115">
        <f>'[8]FY20 Initial Budget Allocat (2)'!CE78/'FY20 Initial Budget Allocat FTE'!CE$121</f>
        <v>0</v>
      </c>
      <c r="CF78" s="115">
        <f>'[8]FY20 Initial Budget Allocat (2)'!CF78/'FY20 Initial Budget Allocat FTE'!CF$121</f>
        <v>0</v>
      </c>
      <c r="CG78" s="115">
        <f>'[8]FY20 Initial Budget Allocat (2)'!CG78/'FY20 Initial Budget Allocat FTE'!CG$121</f>
        <v>0</v>
      </c>
      <c r="CH78" s="115">
        <f>'[8]FY20 Initial Budget Allocat (2)'!CH78/'FY20 Initial Budget Allocat FTE'!CH$121</f>
        <v>0</v>
      </c>
      <c r="CI78" s="115">
        <f>'[8]FY20 Initial Budget Allocat (2)'!CI78/'FY20 Initial Budget Allocat FTE'!CI$121</f>
        <v>0</v>
      </c>
      <c r="CJ78" s="115">
        <f>'[8]FY20 Initial Budget Allocat (2)'!CJ78/'FY20 Initial Budget Allocat FTE'!CJ$121</f>
        <v>0</v>
      </c>
      <c r="CK78" s="79">
        <v>0</v>
      </c>
      <c r="CL78" s="79">
        <v>0</v>
      </c>
      <c r="CM78" s="79">
        <v>54082.8</v>
      </c>
      <c r="CN78" s="79">
        <v>0</v>
      </c>
      <c r="CO78" s="115">
        <f>'[8]FY20 Initial Budget Allocat (2)'!CO78/'FY20 Initial Budget Allocat FTE'!CO$121</f>
        <v>0</v>
      </c>
      <c r="CP78" s="79">
        <v>75000</v>
      </c>
      <c r="CQ78" s="79">
        <v>13720</v>
      </c>
      <c r="CR78" s="79">
        <v>0</v>
      </c>
      <c r="CS78" s="79">
        <v>22327.497382198955</v>
      </c>
      <c r="CT78" s="115">
        <f>'[8]FY20 Initial Budget Allocat (2)'!CT78/'FY20 Initial Budget Allocat FTE'!CT$121</f>
        <v>0</v>
      </c>
      <c r="CU78" s="115">
        <f>'[8]FY20 Initial Budget Allocat (2)'!CU78/'FY20 Initial Budget Allocat FTE'!CU$121</f>
        <v>0</v>
      </c>
      <c r="CV78" s="79"/>
      <c r="CW78" s="79">
        <v>0</v>
      </c>
      <c r="CX78" s="115">
        <f>'[8]FY20 Initial Budget Allocat (2)'!CX78/'FY20 Initial Budget Allocat FTE'!CX$121</f>
        <v>0</v>
      </c>
      <c r="CY78" s="79">
        <v>0</v>
      </c>
      <c r="CZ78" s="79">
        <v>0</v>
      </c>
      <c r="DA78" s="79">
        <v>38400</v>
      </c>
      <c r="DB78" s="79">
        <v>87386.512402908644</v>
      </c>
      <c r="DC78" s="82">
        <v>0</v>
      </c>
      <c r="DD78" s="79">
        <v>0</v>
      </c>
      <c r="DE78" s="79"/>
      <c r="DF78" s="79">
        <v>27000</v>
      </c>
      <c r="DG78" s="79">
        <v>0</v>
      </c>
      <c r="DH78" s="83">
        <v>0</v>
      </c>
      <c r="DI78" s="79">
        <v>16260.473390111074</v>
      </c>
      <c r="DJ78" s="79">
        <v>6244021.7818026524</v>
      </c>
      <c r="DK78" s="84">
        <v>-1.8026521429419518E-3</v>
      </c>
      <c r="DL78" s="84">
        <v>0</v>
      </c>
      <c r="DM78" s="84">
        <f t="shared" si="6"/>
        <v>6244021.7800000003</v>
      </c>
      <c r="DN78" s="116">
        <f t="shared" si="7"/>
        <v>7</v>
      </c>
      <c r="DO78" s="116">
        <f t="shared" si="8"/>
        <v>7</v>
      </c>
      <c r="DP78" s="116">
        <f t="shared" si="9"/>
        <v>14.000000000000002</v>
      </c>
      <c r="DQ78" s="116">
        <f t="shared" si="10"/>
        <v>11</v>
      </c>
      <c r="DR78" s="116">
        <f t="shared" si="11"/>
        <v>9</v>
      </c>
    </row>
    <row r="79" spans="1:122" x14ac:dyDescent="0.25">
      <c r="A79" s="76">
        <v>295</v>
      </c>
      <c r="B79" s="76" t="s">
        <v>218</v>
      </c>
      <c r="C79" s="77" t="s">
        <v>135</v>
      </c>
      <c r="D79" s="41">
        <v>6</v>
      </c>
      <c r="E79" s="78">
        <v>349</v>
      </c>
      <c r="F79" s="78">
        <v>206.57413249211359</v>
      </c>
      <c r="G79" s="115">
        <f>'[8]FY20 Initial Budget Allocat (2)'!G79/'FY20 Initial Budget Allocat FTE'!G$121</f>
        <v>1</v>
      </c>
      <c r="H79" s="115">
        <f>'[8]FY20 Initial Budget Allocat (2)'!H79/'FY20 Initial Budget Allocat FTE'!H$121</f>
        <v>1</v>
      </c>
      <c r="I79" s="115">
        <f>'[8]FY20 Initial Budget Allocat (2)'!I79/'FY20 Initial Budget Allocat FTE'!I$121</f>
        <v>0.9</v>
      </c>
      <c r="J79" s="115">
        <f>'[8]FY20 Initial Budget Allocat (2)'!J79/'FY20 Initial Budget Allocat FTE'!J$121</f>
        <v>0</v>
      </c>
      <c r="K79" s="115">
        <f>'[8]FY20 Initial Budget Allocat (2)'!K79/'FY20 Initial Budget Allocat FTE'!K$121</f>
        <v>0</v>
      </c>
      <c r="L79" s="115">
        <f>'[8]FY20 Initial Budget Allocat (2)'!L79/'FY20 Initial Budget Allocat FTE'!L$121</f>
        <v>1</v>
      </c>
      <c r="M79" s="115">
        <f>'[8]FY20 Initial Budget Allocat (2)'!M79/'FY20 Initial Budget Allocat FTE'!M$121</f>
        <v>1</v>
      </c>
      <c r="N79" s="115">
        <f>'[8]FY20 Initial Budget Allocat (2)'!N79/'FY20 Initial Budget Allocat FTE'!N$121</f>
        <v>0</v>
      </c>
      <c r="O79" s="115">
        <f>'[8]FY20 Initial Budget Allocat (2)'!O79/'FY20 Initial Budget Allocat FTE'!O$121</f>
        <v>0</v>
      </c>
      <c r="P79" s="115">
        <f>'[8]FY20 Initial Budget Allocat (2)'!P79/'FY20 Initial Budget Allocat FTE'!P$121</f>
        <v>0</v>
      </c>
      <c r="Q79" s="115">
        <f>'[8]FY20 Initial Budget Allocat (2)'!Q79/'FY20 Initial Budget Allocat FTE'!Q$121</f>
        <v>0</v>
      </c>
      <c r="R79" s="115">
        <f>'[8]FY20 Initial Budget Allocat (2)'!R79/'FY20 Initial Budget Allocat FTE'!R$121</f>
        <v>1</v>
      </c>
      <c r="S79" s="115">
        <f>'[8]FY20 Initial Budget Allocat (2)'!S79/'FY20 Initial Budget Allocat FTE'!S$121</f>
        <v>1</v>
      </c>
      <c r="T79" s="115">
        <f>'[8]FY20 Initial Budget Allocat (2)'!T79/'FY20 Initial Budget Allocat FTE'!T$121</f>
        <v>2</v>
      </c>
      <c r="U79" s="115">
        <f>'[8]FY20 Initial Budget Allocat (2)'!U79/'FY20 Initial Budget Allocat FTE'!U$121</f>
        <v>1</v>
      </c>
      <c r="V79" s="115">
        <f>'[8]FY20 Initial Budget Allocat (2)'!V79/'FY20 Initial Budget Allocat FTE'!V$121</f>
        <v>1</v>
      </c>
      <c r="W79" s="115">
        <f>'[8]FY20 Initial Budget Allocat (2)'!W79/'FY20 Initial Budget Allocat FTE'!W$121</f>
        <v>1</v>
      </c>
      <c r="X79" s="115">
        <f>'[8]FY20 Initial Budget Allocat (2)'!X79/'FY20 Initial Budget Allocat FTE'!X$121</f>
        <v>1</v>
      </c>
      <c r="Y79" s="115">
        <f>'[8]FY20 Initial Budget Allocat (2)'!Y79/'FY20 Initial Budget Allocat FTE'!Y$121</f>
        <v>0</v>
      </c>
      <c r="Z79" s="115">
        <f>'[8]FY20 Initial Budget Allocat (2)'!Z79/'FY20 Initial Budget Allocat FTE'!Z$121</f>
        <v>0</v>
      </c>
      <c r="AA79" s="115">
        <f>'[8]FY20 Initial Budget Allocat (2)'!AA79/'FY20 Initial Budget Allocat FTE'!AA$121</f>
        <v>3.0000000000000004</v>
      </c>
      <c r="AB79" s="115">
        <f>'[8]FY20 Initial Budget Allocat (2)'!AB79/'FY20 Initial Budget Allocat FTE'!AB$121</f>
        <v>3</v>
      </c>
      <c r="AC79" s="115">
        <f>'[8]FY20 Initial Budget Allocat (2)'!AC79/'FY20 Initial Budget Allocat FTE'!AC$121</f>
        <v>0</v>
      </c>
      <c r="AD79" s="115">
        <f>'[8]FY20 Initial Budget Allocat (2)'!AD79/'FY20 Initial Budget Allocat FTE'!AD$121</f>
        <v>0</v>
      </c>
      <c r="AE79" s="115">
        <f>'[8]FY20 Initial Budget Allocat (2)'!AE79/'FY20 Initial Budget Allocat FTE'!AE$121</f>
        <v>2</v>
      </c>
      <c r="AF79" s="115">
        <f>'[8]FY20 Initial Budget Allocat (2)'!AF79/'FY20 Initial Budget Allocat FTE'!AF$121</f>
        <v>2</v>
      </c>
      <c r="AG79" s="115">
        <f>'[8]FY20 Initial Budget Allocat (2)'!AG79/'FY20 Initial Budget Allocat FTE'!AG$121</f>
        <v>2</v>
      </c>
      <c r="AH79" s="115">
        <f>'[8]FY20 Initial Budget Allocat (2)'!AH79/'FY20 Initial Budget Allocat FTE'!AH$121</f>
        <v>2</v>
      </c>
      <c r="AI79" s="115">
        <f>'[8]FY20 Initial Budget Allocat (2)'!AI79/'FY20 Initial Budget Allocat FTE'!AI$121</f>
        <v>2</v>
      </c>
      <c r="AJ79" s="115">
        <f>'[8]FY20 Initial Budget Allocat (2)'!AJ79/'FY20 Initial Budget Allocat FTE'!AJ$121</f>
        <v>2</v>
      </c>
      <c r="AK79" s="115">
        <f>'[8]FY20 Initial Budget Allocat (2)'!AK79/'FY20 Initial Budget Allocat FTE'!AK$121</f>
        <v>2</v>
      </c>
      <c r="AL79" s="115">
        <f>'[8]FY20 Initial Budget Allocat (2)'!AL79/'FY20 Initial Budget Allocat FTE'!AL$121</f>
        <v>2</v>
      </c>
      <c r="AM79" s="115">
        <f>'[8]FY20 Initial Budget Allocat (2)'!AM79/'FY20 Initial Budget Allocat FTE'!AM$121</f>
        <v>2</v>
      </c>
      <c r="AN79" s="115">
        <f>'[8]FY20 Initial Budget Allocat (2)'!AN79/'FY20 Initial Budget Allocat FTE'!AN$121</f>
        <v>0</v>
      </c>
      <c r="AO79" s="115">
        <f>'[8]FY20 Initial Budget Allocat (2)'!AO79/'FY20 Initial Budget Allocat FTE'!AO$121</f>
        <v>0</v>
      </c>
      <c r="AP79" s="115">
        <f>'[8]FY20 Initial Budget Allocat (2)'!AP79/'FY20 Initial Budget Allocat FTE'!AP$121</f>
        <v>0</v>
      </c>
      <c r="AQ79" s="115">
        <f>'[8]FY20 Initial Budget Allocat (2)'!AQ79/'FY20 Initial Budget Allocat FTE'!AQ$121</f>
        <v>0</v>
      </c>
      <c r="AR79" s="115">
        <f>'[8]FY20 Initial Budget Allocat (2)'!AR79/'FY20 Initial Budget Allocat FTE'!AR$121</f>
        <v>0</v>
      </c>
      <c r="AS79" s="115">
        <f>'[8]FY20 Initial Budget Allocat (2)'!AS79/'FY20 Initial Budget Allocat FTE'!AS$121</f>
        <v>0</v>
      </c>
      <c r="AT79" s="115">
        <f>'[8]FY20 Initial Budget Allocat (2)'!AT79/'FY20 Initial Budget Allocat FTE'!AT$121</f>
        <v>0</v>
      </c>
      <c r="AU79" s="115">
        <f>'[8]FY20 Initial Budget Allocat (2)'!AU79/'FY20 Initial Budget Allocat FTE'!AU$121</f>
        <v>0</v>
      </c>
      <c r="AV79" s="115">
        <f>'[8]FY20 Initial Budget Allocat (2)'!AV79/'FY20 Initial Budget Allocat FTE'!AV$121</f>
        <v>0</v>
      </c>
      <c r="AW79" s="115">
        <f>'[8]FY20 Initial Budget Allocat (2)'!AW79/'FY20 Initial Budget Allocat FTE'!AW$121</f>
        <v>0</v>
      </c>
      <c r="AX79" s="115">
        <f>'[8]FY20 Initial Budget Allocat (2)'!AX79/'FY20 Initial Budget Allocat FTE'!AX$121</f>
        <v>1</v>
      </c>
      <c r="AY79" s="115">
        <f>'[8]FY20 Initial Budget Allocat (2)'!AY79/'FY20 Initial Budget Allocat FTE'!AY$121</f>
        <v>2</v>
      </c>
      <c r="AZ79" s="115">
        <f>'[8]FY20 Initial Budget Allocat (2)'!AZ79/'FY20 Initial Budget Allocat FTE'!AZ$121</f>
        <v>7</v>
      </c>
      <c r="BA79" s="115">
        <f>'[8]FY20 Initial Budget Allocat (2)'!BA79/'FY20 Initial Budget Allocat FTE'!BA$121</f>
        <v>6</v>
      </c>
      <c r="BB79" s="115">
        <f>'[8]FY20 Initial Budget Allocat (2)'!BB79/'FY20 Initial Budget Allocat FTE'!BB$121</f>
        <v>2</v>
      </c>
      <c r="BC79" s="115">
        <f>'[8]FY20 Initial Budget Allocat (2)'!BC79/'FY20 Initial Budget Allocat FTE'!BC$121</f>
        <v>0</v>
      </c>
      <c r="BD79" s="115">
        <f>'[8]FY20 Initial Budget Allocat (2)'!BD79/'FY20 Initial Budget Allocat FTE'!BD$121</f>
        <v>0.40909090909090906</v>
      </c>
      <c r="BE79" s="115">
        <f>'[8]FY20 Initial Budget Allocat (2)'!BE79/'FY20 Initial Budget Allocat FTE'!BE$121</f>
        <v>0</v>
      </c>
      <c r="BF79" s="115">
        <f>'[8]FY20 Initial Budget Allocat (2)'!BF79/'FY20 Initial Budget Allocat FTE'!BF$121</f>
        <v>0</v>
      </c>
      <c r="BG79" s="115">
        <f>'[8]FY20 Initial Budget Allocat (2)'!BG79/'FY20 Initial Budget Allocat FTE'!BG$121</f>
        <v>3.0629635816906116</v>
      </c>
      <c r="BH79" s="115">
        <f>'[8]FY20 Initial Budget Allocat (2)'!BH79/'FY20 Initial Budget Allocat FTE'!BH$121</f>
        <v>10</v>
      </c>
      <c r="BI79" s="115">
        <f>'[8]FY20 Initial Budget Allocat (2)'!BI79/'FY20 Initial Budget Allocat FTE'!BI$121</f>
        <v>1</v>
      </c>
      <c r="BJ79" s="79"/>
      <c r="BK79" s="79">
        <v>0</v>
      </c>
      <c r="BL79" s="79">
        <v>41525.1</v>
      </c>
      <c r="BM79" s="79">
        <v>149272.19</v>
      </c>
      <c r="BN79" s="79">
        <v>2375.31</v>
      </c>
      <c r="BO79" s="79">
        <v>0</v>
      </c>
      <c r="BP79" s="115">
        <f>'[8]FY20 Initial Budget Allocat (2)'!BP79/'FY20 Initial Budget Allocat FTE'!BP$121</f>
        <v>0</v>
      </c>
      <c r="BQ79" s="115">
        <f>'[8]FY20 Initial Budget Allocat (2)'!BQ79/'FY20 Initial Budget Allocat FTE'!BQ$121</f>
        <v>0</v>
      </c>
      <c r="BR79" s="115">
        <f>'[8]FY20 Initial Budget Allocat (2)'!BR79/'FY20 Initial Budget Allocat FTE'!BR$121</f>
        <v>0</v>
      </c>
      <c r="BS79" s="115">
        <f>'[8]FY20 Initial Budget Allocat (2)'!BS79/'FY20 Initial Budget Allocat FTE'!BS$121</f>
        <v>0</v>
      </c>
      <c r="BT79" s="115">
        <f>'[8]FY20 Initial Budget Allocat (2)'!BT79/'FY20 Initial Budget Allocat FTE'!BT$121</f>
        <v>0</v>
      </c>
      <c r="BU79" s="115">
        <f>'[8]FY20 Initial Budget Allocat (2)'!BU79/'FY20 Initial Budget Allocat FTE'!BU$121</f>
        <v>0</v>
      </c>
      <c r="BV79" s="115">
        <f>'[8]FY20 Initial Budget Allocat (2)'!BV79/'FY20 Initial Budget Allocat FTE'!BV$121</f>
        <v>0</v>
      </c>
      <c r="BW79" s="80">
        <v>0</v>
      </c>
      <c r="BX79" s="80">
        <v>0</v>
      </c>
      <c r="BY79" s="80">
        <v>0</v>
      </c>
      <c r="BZ79" s="80">
        <v>0</v>
      </c>
      <c r="CA79" s="115">
        <f>'[8]FY20 Initial Budget Allocat (2)'!CA79/'FY20 Initial Budget Allocat FTE'!CA$121</f>
        <v>0</v>
      </c>
      <c r="CB79" s="115">
        <f>'[8]FY20 Initial Budget Allocat (2)'!CB79/'FY20 Initial Budget Allocat FTE'!CB$121</f>
        <v>0</v>
      </c>
      <c r="CC79" s="80">
        <v>0</v>
      </c>
      <c r="CD79" s="115">
        <f>'[8]FY20 Initial Budget Allocat (2)'!CD79/'FY20 Initial Budget Allocat FTE'!CD$121</f>
        <v>0</v>
      </c>
      <c r="CE79" s="115">
        <f>'[8]FY20 Initial Budget Allocat (2)'!CE79/'FY20 Initial Budget Allocat FTE'!CE$121</f>
        <v>0</v>
      </c>
      <c r="CF79" s="115">
        <f>'[8]FY20 Initial Budget Allocat (2)'!CF79/'FY20 Initial Budget Allocat FTE'!CF$121</f>
        <v>0</v>
      </c>
      <c r="CG79" s="115">
        <f>'[8]FY20 Initial Budget Allocat (2)'!CG79/'FY20 Initial Budget Allocat FTE'!CG$121</f>
        <v>0</v>
      </c>
      <c r="CH79" s="115">
        <f>'[8]FY20 Initial Budget Allocat (2)'!CH79/'FY20 Initial Budget Allocat FTE'!CH$121</f>
        <v>0</v>
      </c>
      <c r="CI79" s="115">
        <f>'[8]FY20 Initial Budget Allocat (2)'!CI79/'FY20 Initial Budget Allocat FTE'!CI$121</f>
        <v>0</v>
      </c>
      <c r="CJ79" s="115">
        <f>'[8]FY20 Initial Budget Allocat (2)'!CJ79/'FY20 Initial Budget Allocat FTE'!CJ$121</f>
        <v>0</v>
      </c>
      <c r="CK79" s="79">
        <v>0</v>
      </c>
      <c r="CL79" s="79">
        <v>0</v>
      </c>
      <c r="CM79" s="79">
        <v>54082.8</v>
      </c>
      <c r="CN79" s="79">
        <v>0</v>
      </c>
      <c r="CO79" s="115">
        <f>'[8]FY20 Initial Budget Allocat (2)'!CO79/'FY20 Initial Budget Allocat FTE'!CO$121</f>
        <v>0</v>
      </c>
      <c r="CP79" s="79">
        <v>0</v>
      </c>
      <c r="CQ79" s="79">
        <v>4131.4826498422717</v>
      </c>
      <c r="CR79" s="79">
        <v>0</v>
      </c>
      <c r="CS79" s="79">
        <v>21141.540229885057</v>
      </c>
      <c r="CT79" s="115">
        <f>'[8]FY20 Initial Budget Allocat (2)'!CT79/'FY20 Initial Budget Allocat FTE'!CT$121</f>
        <v>0</v>
      </c>
      <c r="CU79" s="115">
        <f>'[8]FY20 Initial Budget Allocat (2)'!CU79/'FY20 Initial Budget Allocat FTE'!CU$121</f>
        <v>0</v>
      </c>
      <c r="CV79" s="79"/>
      <c r="CW79" s="79">
        <v>0</v>
      </c>
      <c r="CX79" s="115">
        <f>'[8]FY20 Initial Budget Allocat (2)'!CX79/'FY20 Initial Budget Allocat FTE'!CX$121</f>
        <v>0</v>
      </c>
      <c r="CY79" s="79">
        <v>0</v>
      </c>
      <c r="CZ79" s="79">
        <v>0</v>
      </c>
      <c r="DA79" s="79">
        <v>34900</v>
      </c>
      <c r="DB79" s="79">
        <v>76346.330480502438</v>
      </c>
      <c r="DC79" s="82">
        <v>0</v>
      </c>
      <c r="DD79" s="79">
        <v>0</v>
      </c>
      <c r="DE79" s="79"/>
      <c r="DF79" s="79">
        <v>18600</v>
      </c>
      <c r="DG79" s="79">
        <v>0</v>
      </c>
      <c r="DH79" s="83">
        <v>0</v>
      </c>
      <c r="DI79" s="79">
        <v>14972.984979195595</v>
      </c>
      <c r="DJ79" s="79">
        <v>5225571.7577392627</v>
      </c>
      <c r="DK79" s="84">
        <v>-25571.757739262655</v>
      </c>
      <c r="DL79" s="84">
        <v>18161.240000000002</v>
      </c>
      <c r="DM79" s="84">
        <f t="shared" si="6"/>
        <v>5218161.24</v>
      </c>
      <c r="DN79" s="116">
        <f t="shared" si="7"/>
        <v>7</v>
      </c>
      <c r="DO79" s="116">
        <f t="shared" si="8"/>
        <v>7</v>
      </c>
      <c r="DP79" s="116">
        <f t="shared" si="9"/>
        <v>10</v>
      </c>
      <c r="DQ79" s="116">
        <f t="shared" si="10"/>
        <v>10.409090909090908</v>
      </c>
      <c r="DR79" s="116">
        <f t="shared" si="11"/>
        <v>6</v>
      </c>
    </row>
    <row r="80" spans="1:122" x14ac:dyDescent="0.25">
      <c r="A80" s="76">
        <v>301</v>
      </c>
      <c r="B80" s="76" t="s">
        <v>219</v>
      </c>
      <c r="C80" s="77" t="s">
        <v>135</v>
      </c>
      <c r="D80" s="41">
        <v>6</v>
      </c>
      <c r="E80" s="78">
        <v>222</v>
      </c>
      <c r="F80" s="78">
        <v>30.64</v>
      </c>
      <c r="G80" s="115">
        <f>'[8]FY20 Initial Budget Allocat (2)'!G80/'FY20 Initial Budget Allocat FTE'!G$121</f>
        <v>0</v>
      </c>
      <c r="H80" s="115">
        <f>'[8]FY20 Initial Budget Allocat (2)'!H80/'FY20 Initial Budget Allocat FTE'!H$121</f>
        <v>1</v>
      </c>
      <c r="I80" s="115">
        <f>'[8]FY20 Initial Budget Allocat (2)'!I80/'FY20 Initial Budget Allocat FTE'!I$121</f>
        <v>1</v>
      </c>
      <c r="J80" s="115">
        <f>'[8]FY20 Initial Budget Allocat (2)'!J80/'FY20 Initial Budget Allocat FTE'!J$121</f>
        <v>0</v>
      </c>
      <c r="K80" s="115">
        <f>'[8]FY20 Initial Budget Allocat (2)'!K80/'FY20 Initial Budget Allocat FTE'!K$121</f>
        <v>0</v>
      </c>
      <c r="L80" s="115">
        <f>'[8]FY20 Initial Budget Allocat (2)'!L80/'FY20 Initial Budget Allocat FTE'!L$121</f>
        <v>0.5</v>
      </c>
      <c r="M80" s="115">
        <f>'[8]FY20 Initial Budget Allocat (2)'!M80/'FY20 Initial Budget Allocat FTE'!M$121</f>
        <v>1</v>
      </c>
      <c r="N80" s="115">
        <f>'[8]FY20 Initial Budget Allocat (2)'!N80/'FY20 Initial Budget Allocat FTE'!N$121</f>
        <v>0</v>
      </c>
      <c r="O80" s="115">
        <f>'[8]FY20 Initial Budget Allocat (2)'!O80/'FY20 Initial Budget Allocat FTE'!O$121</f>
        <v>0</v>
      </c>
      <c r="P80" s="115">
        <f>'[8]FY20 Initial Budget Allocat (2)'!P80/'FY20 Initial Budget Allocat FTE'!P$121</f>
        <v>0</v>
      </c>
      <c r="Q80" s="115">
        <f>'[8]FY20 Initial Budget Allocat (2)'!Q80/'FY20 Initial Budget Allocat FTE'!Q$121</f>
        <v>0</v>
      </c>
      <c r="R80" s="115">
        <f>'[8]FY20 Initial Budget Allocat (2)'!R80/'FY20 Initial Budget Allocat FTE'!R$121</f>
        <v>1</v>
      </c>
      <c r="S80" s="115">
        <f>'[8]FY20 Initial Budget Allocat (2)'!S80/'FY20 Initial Budget Allocat FTE'!S$121</f>
        <v>1</v>
      </c>
      <c r="T80" s="115">
        <f>'[8]FY20 Initial Budget Allocat (2)'!T80/'FY20 Initial Budget Allocat FTE'!T$121</f>
        <v>1</v>
      </c>
      <c r="U80" s="115">
        <f>'[8]FY20 Initial Budget Allocat (2)'!U80/'FY20 Initial Budget Allocat FTE'!U$121</f>
        <v>0.5</v>
      </c>
      <c r="V80" s="115">
        <f>'[8]FY20 Initial Budget Allocat (2)'!V80/'FY20 Initial Budget Allocat FTE'!V$121</f>
        <v>1</v>
      </c>
      <c r="W80" s="115">
        <f>'[8]FY20 Initial Budget Allocat (2)'!W80/'FY20 Initial Budget Allocat FTE'!W$121</f>
        <v>1</v>
      </c>
      <c r="X80" s="115">
        <f>'[8]FY20 Initial Budget Allocat (2)'!X80/'FY20 Initial Budget Allocat FTE'!X$121</f>
        <v>1</v>
      </c>
      <c r="Y80" s="115">
        <f>'[8]FY20 Initial Budget Allocat (2)'!Y80/'FY20 Initial Budget Allocat FTE'!Y$121</f>
        <v>0</v>
      </c>
      <c r="Z80" s="115">
        <f>'[8]FY20 Initial Budget Allocat (2)'!Z80/'FY20 Initial Budget Allocat FTE'!Z$121</f>
        <v>0</v>
      </c>
      <c r="AA80" s="115">
        <f>'[8]FY20 Initial Budget Allocat (2)'!AA80/'FY20 Initial Budget Allocat FTE'!AA$121</f>
        <v>4</v>
      </c>
      <c r="AB80" s="115">
        <f>'[8]FY20 Initial Budget Allocat (2)'!AB80/'FY20 Initial Budget Allocat FTE'!AB$121</f>
        <v>4</v>
      </c>
      <c r="AC80" s="115">
        <f>'[8]FY20 Initial Budget Allocat (2)'!AC80/'FY20 Initial Budget Allocat FTE'!AC$121</f>
        <v>0</v>
      </c>
      <c r="AD80" s="115">
        <f>'[8]FY20 Initial Budget Allocat (2)'!AD80/'FY20 Initial Budget Allocat FTE'!AD$121</f>
        <v>0</v>
      </c>
      <c r="AE80" s="115">
        <f>'[8]FY20 Initial Budget Allocat (2)'!AE80/'FY20 Initial Budget Allocat FTE'!AE$121</f>
        <v>4</v>
      </c>
      <c r="AF80" s="115">
        <f>'[8]FY20 Initial Budget Allocat (2)'!AF80/'FY20 Initial Budget Allocat FTE'!AF$121</f>
        <v>4</v>
      </c>
      <c r="AG80" s="115">
        <f>'[8]FY20 Initial Budget Allocat (2)'!AG80/'FY20 Initial Budget Allocat FTE'!AG$121</f>
        <v>4</v>
      </c>
      <c r="AH80" s="115">
        <f>'[8]FY20 Initial Budget Allocat (2)'!AH80/'FY20 Initial Budget Allocat FTE'!AH$121</f>
        <v>4</v>
      </c>
      <c r="AI80" s="115">
        <f>'[8]FY20 Initial Budget Allocat (2)'!AI80/'FY20 Initial Budget Allocat FTE'!AI$121</f>
        <v>0</v>
      </c>
      <c r="AJ80" s="115">
        <f>'[8]FY20 Initial Budget Allocat (2)'!AJ80/'FY20 Initial Budget Allocat FTE'!AJ$121</f>
        <v>0</v>
      </c>
      <c r="AK80" s="115">
        <f>'[8]FY20 Initial Budget Allocat (2)'!AK80/'FY20 Initial Budget Allocat FTE'!AK$121</f>
        <v>0</v>
      </c>
      <c r="AL80" s="115">
        <f>'[8]FY20 Initial Budget Allocat (2)'!AL80/'FY20 Initial Budget Allocat FTE'!AL$121</f>
        <v>0</v>
      </c>
      <c r="AM80" s="115">
        <f>'[8]FY20 Initial Budget Allocat (2)'!AM80/'FY20 Initial Budget Allocat FTE'!AM$121</f>
        <v>0</v>
      </c>
      <c r="AN80" s="115">
        <f>'[8]FY20 Initial Budget Allocat (2)'!AN80/'FY20 Initial Budget Allocat FTE'!AN$121</f>
        <v>0</v>
      </c>
      <c r="AO80" s="115">
        <f>'[8]FY20 Initial Budget Allocat (2)'!AO80/'FY20 Initial Budget Allocat FTE'!AO$121</f>
        <v>0</v>
      </c>
      <c r="AP80" s="115">
        <f>'[8]FY20 Initial Budget Allocat (2)'!AP80/'FY20 Initial Budget Allocat FTE'!AP$121</f>
        <v>0</v>
      </c>
      <c r="AQ80" s="115">
        <f>'[8]FY20 Initial Budget Allocat (2)'!AQ80/'FY20 Initial Budget Allocat FTE'!AQ$121</f>
        <v>0</v>
      </c>
      <c r="AR80" s="115">
        <f>'[8]FY20 Initial Budget Allocat (2)'!AR80/'FY20 Initial Budget Allocat FTE'!AR$121</f>
        <v>0</v>
      </c>
      <c r="AS80" s="115">
        <f>'[8]FY20 Initial Budget Allocat (2)'!AS80/'FY20 Initial Budget Allocat FTE'!AS$121</f>
        <v>0</v>
      </c>
      <c r="AT80" s="115">
        <f>'[8]FY20 Initial Budget Allocat (2)'!AT80/'FY20 Initial Budget Allocat FTE'!AT$121</f>
        <v>0</v>
      </c>
      <c r="AU80" s="115">
        <f>'[8]FY20 Initial Budget Allocat (2)'!AU80/'FY20 Initial Budget Allocat FTE'!AU$121</f>
        <v>0</v>
      </c>
      <c r="AV80" s="115">
        <f>'[8]FY20 Initial Budget Allocat (2)'!AV80/'FY20 Initial Budget Allocat FTE'!AV$121</f>
        <v>0</v>
      </c>
      <c r="AW80" s="115">
        <f>'[8]FY20 Initial Budget Allocat (2)'!AW80/'FY20 Initial Budget Allocat FTE'!AW$121</f>
        <v>0</v>
      </c>
      <c r="AX80" s="115">
        <f>'[8]FY20 Initial Budget Allocat (2)'!AX80/'FY20 Initial Budget Allocat FTE'!AX$121</f>
        <v>0.5</v>
      </c>
      <c r="AY80" s="115">
        <f>'[8]FY20 Initial Budget Allocat (2)'!AY80/'FY20 Initial Budget Allocat FTE'!AY$121</f>
        <v>0.5</v>
      </c>
      <c r="AZ80" s="115">
        <f>'[8]FY20 Initial Budget Allocat (2)'!AZ80/'FY20 Initial Budget Allocat FTE'!AZ$121</f>
        <v>1</v>
      </c>
      <c r="BA80" s="115">
        <f>'[8]FY20 Initial Budget Allocat (2)'!BA80/'FY20 Initial Budget Allocat FTE'!BA$121</f>
        <v>0</v>
      </c>
      <c r="BB80" s="115">
        <f>'[8]FY20 Initial Budget Allocat (2)'!BB80/'FY20 Initial Budget Allocat FTE'!BB$121</f>
        <v>0</v>
      </c>
      <c r="BC80" s="115">
        <f>'[8]FY20 Initial Budget Allocat (2)'!BC80/'FY20 Initial Budget Allocat FTE'!BC$121</f>
        <v>0</v>
      </c>
      <c r="BD80" s="115">
        <f>'[8]FY20 Initial Budget Allocat (2)'!BD80/'FY20 Initial Budget Allocat FTE'!BD$121</f>
        <v>0</v>
      </c>
      <c r="BE80" s="115">
        <f>'[8]FY20 Initial Budget Allocat (2)'!BE80/'FY20 Initial Budget Allocat FTE'!BE$121</f>
        <v>0</v>
      </c>
      <c r="BF80" s="115">
        <f>'[8]FY20 Initial Budget Allocat (2)'!BF80/'FY20 Initial Budget Allocat FTE'!BF$121</f>
        <v>0</v>
      </c>
      <c r="BG80" s="115">
        <f>'[8]FY20 Initial Budget Allocat (2)'!BG80/'FY20 Initial Budget Allocat FTE'!BG$121</f>
        <v>0</v>
      </c>
      <c r="BH80" s="115">
        <f>'[8]FY20 Initial Budget Allocat (2)'!BH80/'FY20 Initial Budget Allocat FTE'!BH$121</f>
        <v>0</v>
      </c>
      <c r="BI80" s="115">
        <f>'[8]FY20 Initial Budget Allocat (2)'!BI80/'FY20 Initial Budget Allocat FTE'!BI$121</f>
        <v>0</v>
      </c>
      <c r="BJ80" s="79"/>
      <c r="BK80" s="79">
        <v>0</v>
      </c>
      <c r="BL80" s="79"/>
      <c r="BM80" s="79">
        <v>0</v>
      </c>
      <c r="BN80" s="79">
        <v>0</v>
      </c>
      <c r="BO80" s="79">
        <v>5675</v>
      </c>
      <c r="BP80" s="115">
        <f>'[8]FY20 Initial Budget Allocat (2)'!BP80/'FY20 Initial Budget Allocat FTE'!BP$121</f>
        <v>0</v>
      </c>
      <c r="BQ80" s="115">
        <f>'[8]FY20 Initial Budget Allocat (2)'!BQ80/'FY20 Initial Budget Allocat FTE'!BQ$121</f>
        <v>0</v>
      </c>
      <c r="BR80" s="115">
        <f>'[8]FY20 Initial Budget Allocat (2)'!BR80/'FY20 Initial Budget Allocat FTE'!BR$121</f>
        <v>0</v>
      </c>
      <c r="BS80" s="115">
        <f>'[8]FY20 Initial Budget Allocat (2)'!BS80/'FY20 Initial Budget Allocat FTE'!BS$121</f>
        <v>0</v>
      </c>
      <c r="BT80" s="115">
        <f>'[8]FY20 Initial Budget Allocat (2)'!BT80/'FY20 Initial Budget Allocat FTE'!BT$121</f>
        <v>0</v>
      </c>
      <c r="BU80" s="115">
        <f>'[8]FY20 Initial Budget Allocat (2)'!BU80/'FY20 Initial Budget Allocat FTE'!BU$121</f>
        <v>0</v>
      </c>
      <c r="BV80" s="115">
        <f>'[8]FY20 Initial Budget Allocat (2)'!BV80/'FY20 Initial Budget Allocat FTE'!BV$121</f>
        <v>0</v>
      </c>
      <c r="BW80" s="80">
        <v>0</v>
      </c>
      <c r="BX80" s="80">
        <v>0</v>
      </c>
      <c r="BY80" s="80">
        <v>0</v>
      </c>
      <c r="BZ80" s="80">
        <v>0</v>
      </c>
      <c r="CA80" s="115">
        <f>'[8]FY20 Initial Budget Allocat (2)'!CA80/'FY20 Initial Budget Allocat FTE'!CA$121</f>
        <v>0</v>
      </c>
      <c r="CB80" s="115">
        <f>'[8]FY20 Initial Budget Allocat (2)'!CB80/'FY20 Initial Budget Allocat FTE'!CB$121</f>
        <v>0</v>
      </c>
      <c r="CC80" s="80">
        <v>0</v>
      </c>
      <c r="CD80" s="115">
        <f>'[8]FY20 Initial Budget Allocat (2)'!CD80/'FY20 Initial Budget Allocat FTE'!CD$121</f>
        <v>0</v>
      </c>
      <c r="CE80" s="115">
        <f>'[8]FY20 Initial Budget Allocat (2)'!CE80/'FY20 Initial Budget Allocat FTE'!CE$121</f>
        <v>0</v>
      </c>
      <c r="CF80" s="115">
        <f>'[8]FY20 Initial Budget Allocat (2)'!CF80/'FY20 Initial Budget Allocat FTE'!CF$121</f>
        <v>0</v>
      </c>
      <c r="CG80" s="115">
        <f>'[8]FY20 Initial Budget Allocat (2)'!CG80/'FY20 Initial Budget Allocat FTE'!CG$121</f>
        <v>0</v>
      </c>
      <c r="CH80" s="115">
        <f>'[8]FY20 Initial Budget Allocat (2)'!CH80/'FY20 Initial Budget Allocat FTE'!CH$121</f>
        <v>0</v>
      </c>
      <c r="CI80" s="115">
        <f>'[8]FY20 Initial Budget Allocat (2)'!CI80/'FY20 Initial Budget Allocat FTE'!CI$121</f>
        <v>0</v>
      </c>
      <c r="CJ80" s="115">
        <f>'[8]FY20 Initial Budget Allocat (2)'!CJ80/'FY20 Initial Budget Allocat FTE'!CJ$121</f>
        <v>0</v>
      </c>
      <c r="CK80" s="79">
        <v>0</v>
      </c>
      <c r="CL80" s="79">
        <v>0</v>
      </c>
      <c r="CM80" s="79">
        <v>54082.8</v>
      </c>
      <c r="CN80" s="79">
        <v>0</v>
      </c>
      <c r="CO80" s="115">
        <f>'[8]FY20 Initial Budget Allocat (2)'!CO80/'FY20 Initial Budget Allocat FTE'!CO$121</f>
        <v>0</v>
      </c>
      <c r="CP80" s="79">
        <v>0</v>
      </c>
      <c r="CQ80" s="79">
        <v>0</v>
      </c>
      <c r="CR80" s="79">
        <v>0</v>
      </c>
      <c r="CS80" s="79">
        <v>13509.263157894737</v>
      </c>
      <c r="CT80" s="115">
        <f>'[8]FY20 Initial Budget Allocat (2)'!CT80/'FY20 Initial Budget Allocat FTE'!CT$121</f>
        <v>0</v>
      </c>
      <c r="CU80" s="115">
        <f>'[8]FY20 Initial Budget Allocat (2)'!CU80/'FY20 Initial Budget Allocat FTE'!CU$121</f>
        <v>0</v>
      </c>
      <c r="CV80" s="79"/>
      <c r="CW80" s="79">
        <v>0</v>
      </c>
      <c r="CX80" s="115">
        <f>'[8]FY20 Initial Budget Allocat (2)'!CX80/'FY20 Initial Budget Allocat FTE'!CX$121</f>
        <v>0</v>
      </c>
      <c r="CY80" s="79">
        <v>0</v>
      </c>
      <c r="CZ80" s="79">
        <v>0</v>
      </c>
      <c r="DA80" s="79">
        <v>22200</v>
      </c>
      <c r="DB80" s="79">
        <v>45803.101604574666</v>
      </c>
      <c r="DC80" s="82">
        <v>0</v>
      </c>
      <c r="DD80" s="79">
        <v>0</v>
      </c>
      <c r="DE80" s="79"/>
      <c r="DF80" s="79">
        <v>1000</v>
      </c>
      <c r="DG80" s="79">
        <v>0</v>
      </c>
      <c r="DH80" s="83">
        <v>0</v>
      </c>
      <c r="DI80" s="79">
        <v>13455.780666233122</v>
      </c>
      <c r="DJ80" s="79">
        <v>2987183.3079037536</v>
      </c>
      <c r="DK80" s="84">
        <v>2.096246462315321E-3</v>
      </c>
      <c r="DL80" s="84">
        <v>0</v>
      </c>
      <c r="DM80" s="84">
        <f t="shared" si="6"/>
        <v>2987183.31</v>
      </c>
      <c r="DN80" s="116">
        <f t="shared" si="7"/>
        <v>12</v>
      </c>
      <c r="DO80" s="116">
        <f t="shared" si="8"/>
        <v>12</v>
      </c>
      <c r="DP80" s="116">
        <f t="shared" si="9"/>
        <v>0</v>
      </c>
      <c r="DQ80" s="116">
        <f t="shared" si="10"/>
        <v>2</v>
      </c>
      <c r="DR80" s="116">
        <f t="shared" si="11"/>
        <v>0</v>
      </c>
    </row>
    <row r="81" spans="1:122" x14ac:dyDescent="0.25">
      <c r="A81" s="76">
        <v>478</v>
      </c>
      <c r="B81" s="76" t="s">
        <v>220</v>
      </c>
      <c r="C81" s="77" t="s">
        <v>138</v>
      </c>
      <c r="D81" s="41">
        <v>5</v>
      </c>
      <c r="E81" s="78">
        <v>269</v>
      </c>
      <c r="F81" s="78">
        <v>185.9198717948718</v>
      </c>
      <c r="G81" s="115">
        <f>'[8]FY20 Initial Budget Allocat (2)'!G81/'FY20 Initial Budget Allocat FTE'!G$121</f>
        <v>1</v>
      </c>
      <c r="H81" s="115">
        <f>'[8]FY20 Initial Budget Allocat (2)'!H81/'FY20 Initial Budget Allocat FTE'!H$121</f>
        <v>1</v>
      </c>
      <c r="I81" s="115">
        <f>'[8]FY20 Initial Budget Allocat (2)'!I81/'FY20 Initial Budget Allocat FTE'!I$121</f>
        <v>0.9</v>
      </c>
      <c r="J81" s="115">
        <f>'[8]FY20 Initial Budget Allocat (2)'!J81/'FY20 Initial Budget Allocat FTE'!J$121</f>
        <v>0</v>
      </c>
      <c r="K81" s="115">
        <f>'[8]FY20 Initial Budget Allocat (2)'!K81/'FY20 Initial Budget Allocat FTE'!K$121</f>
        <v>1.4999948601613144</v>
      </c>
      <c r="L81" s="115">
        <f>'[8]FY20 Initial Budget Allocat (2)'!L81/'FY20 Initial Budget Allocat FTE'!L$121</f>
        <v>0.5</v>
      </c>
      <c r="M81" s="115">
        <f>'[8]FY20 Initial Budget Allocat (2)'!M81/'FY20 Initial Budget Allocat FTE'!M$121</f>
        <v>1</v>
      </c>
      <c r="N81" s="115">
        <f>'[8]FY20 Initial Budget Allocat (2)'!N81/'FY20 Initial Budget Allocat FTE'!N$121</f>
        <v>0</v>
      </c>
      <c r="O81" s="115">
        <f>'[8]FY20 Initial Budget Allocat (2)'!O81/'FY20 Initial Budget Allocat FTE'!O$121</f>
        <v>1</v>
      </c>
      <c r="P81" s="115">
        <f>'[8]FY20 Initial Budget Allocat (2)'!P81/'FY20 Initial Budget Allocat FTE'!P$121</f>
        <v>1</v>
      </c>
      <c r="Q81" s="115">
        <f>'[8]FY20 Initial Budget Allocat (2)'!Q81/'FY20 Initial Budget Allocat FTE'!Q$121</f>
        <v>0</v>
      </c>
      <c r="R81" s="115">
        <f>'[8]FY20 Initial Budget Allocat (2)'!R81/'FY20 Initial Budget Allocat FTE'!R$121</f>
        <v>1</v>
      </c>
      <c r="S81" s="115">
        <f>'[8]FY20 Initial Budget Allocat (2)'!S81/'FY20 Initial Budget Allocat FTE'!S$121</f>
        <v>1</v>
      </c>
      <c r="T81" s="115">
        <f>'[8]FY20 Initial Budget Allocat (2)'!T81/'FY20 Initial Budget Allocat FTE'!T$121</f>
        <v>3</v>
      </c>
      <c r="U81" s="115">
        <f>'[8]FY20 Initial Budget Allocat (2)'!U81/'FY20 Initial Budget Allocat FTE'!U$121</f>
        <v>0.5</v>
      </c>
      <c r="V81" s="115">
        <f>'[8]FY20 Initial Budget Allocat (2)'!V81/'FY20 Initial Budget Allocat FTE'!V$121</f>
        <v>0</v>
      </c>
      <c r="W81" s="115">
        <f>'[8]FY20 Initial Budget Allocat (2)'!W81/'FY20 Initial Budget Allocat FTE'!W$121</f>
        <v>0</v>
      </c>
      <c r="X81" s="115">
        <f>'[8]FY20 Initial Budget Allocat (2)'!X81/'FY20 Initial Budget Allocat FTE'!X$121</f>
        <v>0</v>
      </c>
      <c r="Y81" s="115">
        <f>'[8]FY20 Initial Budget Allocat (2)'!Y81/'FY20 Initial Budget Allocat FTE'!Y$121</f>
        <v>0</v>
      </c>
      <c r="Z81" s="115">
        <f>'[8]FY20 Initial Budget Allocat (2)'!Z81/'FY20 Initial Budget Allocat FTE'!Z$121</f>
        <v>0</v>
      </c>
      <c r="AA81" s="115">
        <f>'[8]FY20 Initial Budget Allocat (2)'!AA81/'FY20 Initial Budget Allocat FTE'!AA$121</f>
        <v>0</v>
      </c>
      <c r="AB81" s="115">
        <f>'[8]FY20 Initial Budget Allocat (2)'!AB81/'FY20 Initial Budget Allocat FTE'!AB$121</f>
        <v>0</v>
      </c>
      <c r="AC81" s="115">
        <f>'[8]FY20 Initial Budget Allocat (2)'!AC81/'FY20 Initial Budget Allocat FTE'!AC$121</f>
        <v>0</v>
      </c>
      <c r="AD81" s="115">
        <f>'[8]FY20 Initial Budget Allocat (2)'!AD81/'FY20 Initial Budget Allocat FTE'!AD$121</f>
        <v>0</v>
      </c>
      <c r="AE81" s="115">
        <f>'[8]FY20 Initial Budget Allocat (2)'!AE81/'FY20 Initial Budget Allocat FTE'!AE$121</f>
        <v>0</v>
      </c>
      <c r="AF81" s="115">
        <f>'[8]FY20 Initial Budget Allocat (2)'!AF81/'FY20 Initial Budget Allocat FTE'!AF$121</f>
        <v>0</v>
      </c>
      <c r="AG81" s="115">
        <f>'[8]FY20 Initial Budget Allocat (2)'!AG81/'FY20 Initial Budget Allocat FTE'!AG$121</f>
        <v>0</v>
      </c>
      <c r="AH81" s="115">
        <f>'[8]FY20 Initial Budget Allocat (2)'!AH81/'FY20 Initial Budget Allocat FTE'!AH$121</f>
        <v>0</v>
      </c>
      <c r="AI81" s="115">
        <f>'[8]FY20 Initial Budget Allocat (2)'!AI81/'FY20 Initial Budget Allocat FTE'!AI$121</f>
        <v>0</v>
      </c>
      <c r="AJ81" s="115">
        <f>'[8]FY20 Initial Budget Allocat (2)'!AJ81/'FY20 Initial Budget Allocat FTE'!AJ$121</f>
        <v>0</v>
      </c>
      <c r="AK81" s="115">
        <f>'[8]FY20 Initial Budget Allocat (2)'!AK81/'FY20 Initial Budget Allocat FTE'!AK$121</f>
        <v>0</v>
      </c>
      <c r="AL81" s="115">
        <f>'[8]FY20 Initial Budget Allocat (2)'!AL81/'FY20 Initial Budget Allocat FTE'!AL$121</f>
        <v>0</v>
      </c>
      <c r="AM81" s="115">
        <f>'[8]FY20 Initial Budget Allocat (2)'!AM81/'FY20 Initial Budget Allocat FTE'!AM$121</f>
        <v>0</v>
      </c>
      <c r="AN81" s="115">
        <f>'[8]FY20 Initial Budget Allocat (2)'!AN81/'FY20 Initial Budget Allocat FTE'!AN$121</f>
        <v>0</v>
      </c>
      <c r="AO81" s="115">
        <f>'[8]FY20 Initial Budget Allocat (2)'!AO81/'FY20 Initial Budget Allocat FTE'!AO$121</f>
        <v>0</v>
      </c>
      <c r="AP81" s="115">
        <f>'[8]FY20 Initial Budget Allocat (2)'!AP81/'FY20 Initial Budget Allocat FTE'!AP$121</f>
        <v>0</v>
      </c>
      <c r="AQ81" s="115">
        <f>'[8]FY20 Initial Budget Allocat (2)'!AQ81/'FY20 Initial Budget Allocat FTE'!AQ$121</f>
        <v>4.9000000000000004</v>
      </c>
      <c r="AR81" s="115">
        <f>'[8]FY20 Initial Budget Allocat (2)'!AR81/'FY20 Initial Budget Allocat FTE'!AR$121</f>
        <v>3.6</v>
      </c>
      <c r="AS81" s="115">
        <f>'[8]FY20 Initial Budget Allocat (2)'!AS81/'FY20 Initial Budget Allocat FTE'!AS$121</f>
        <v>3.2000000000000006</v>
      </c>
      <c r="AT81" s="115">
        <f>'[8]FY20 Initial Budget Allocat (2)'!AT81/'FY20 Initial Budget Allocat FTE'!AT$121</f>
        <v>3.3</v>
      </c>
      <c r="AU81" s="115">
        <f>'[8]FY20 Initial Budget Allocat (2)'!AU81/'FY20 Initial Budget Allocat FTE'!AU$121</f>
        <v>0</v>
      </c>
      <c r="AV81" s="115">
        <f>'[8]FY20 Initial Budget Allocat (2)'!AV81/'FY20 Initial Budget Allocat FTE'!AV$121</f>
        <v>0</v>
      </c>
      <c r="AW81" s="115">
        <f>'[8]FY20 Initial Budget Allocat (2)'!AW81/'FY20 Initial Budget Allocat FTE'!AW$121</f>
        <v>0</v>
      </c>
      <c r="AX81" s="115">
        <f>'[8]FY20 Initial Budget Allocat (2)'!AX81/'FY20 Initial Budget Allocat FTE'!AX$121</f>
        <v>1</v>
      </c>
      <c r="AY81" s="115">
        <f>'[8]FY20 Initial Budget Allocat (2)'!AY81/'FY20 Initial Budget Allocat FTE'!AY$121</f>
        <v>1</v>
      </c>
      <c r="AZ81" s="115">
        <f>'[8]FY20 Initial Budget Allocat (2)'!AZ81/'FY20 Initial Budget Allocat FTE'!AZ$121</f>
        <v>4</v>
      </c>
      <c r="BA81" s="115">
        <f>'[8]FY20 Initial Budget Allocat (2)'!BA81/'FY20 Initial Budget Allocat FTE'!BA$121</f>
        <v>0</v>
      </c>
      <c r="BB81" s="115">
        <f>'[8]FY20 Initial Budget Allocat (2)'!BB81/'FY20 Initial Budget Allocat FTE'!BB$121</f>
        <v>0</v>
      </c>
      <c r="BC81" s="115">
        <f>'[8]FY20 Initial Budget Allocat (2)'!BC81/'FY20 Initial Budget Allocat FTE'!BC$121</f>
        <v>0</v>
      </c>
      <c r="BD81" s="115">
        <f>'[8]FY20 Initial Budget Allocat (2)'!BD81/'FY20 Initial Budget Allocat FTE'!BD$121</f>
        <v>1</v>
      </c>
      <c r="BE81" s="115">
        <f>'[8]FY20 Initial Budget Allocat (2)'!BE81/'FY20 Initial Budget Allocat FTE'!BE$121</f>
        <v>0</v>
      </c>
      <c r="BF81" s="115">
        <f>'[8]FY20 Initial Budget Allocat (2)'!BF81/'FY20 Initial Budget Allocat FTE'!BF$121</f>
        <v>0</v>
      </c>
      <c r="BG81" s="115">
        <f>'[8]FY20 Initial Budget Allocat (2)'!BG81/'FY20 Initial Budget Allocat FTE'!BG$121</f>
        <v>0</v>
      </c>
      <c r="BH81" s="115">
        <f>'[8]FY20 Initial Budget Allocat (2)'!BH81/'FY20 Initial Budget Allocat FTE'!BH$121</f>
        <v>0</v>
      </c>
      <c r="BI81" s="115">
        <f>'[8]FY20 Initial Budget Allocat (2)'!BI81/'FY20 Initial Budget Allocat FTE'!BI$121</f>
        <v>0</v>
      </c>
      <c r="BJ81" s="79"/>
      <c r="BK81" s="79">
        <v>40000</v>
      </c>
      <c r="BL81" s="79"/>
      <c r="BM81" s="79">
        <v>123601.17</v>
      </c>
      <c r="BN81" s="79">
        <v>1966.81</v>
      </c>
      <c r="BO81" s="79">
        <v>0</v>
      </c>
      <c r="BP81" s="115">
        <f>'[8]FY20 Initial Budget Allocat (2)'!BP81/'FY20 Initial Budget Allocat FTE'!BP$121</f>
        <v>0</v>
      </c>
      <c r="BQ81" s="115">
        <f>'[8]FY20 Initial Budget Allocat (2)'!BQ81/'FY20 Initial Budget Allocat FTE'!BQ$121</f>
        <v>0</v>
      </c>
      <c r="BR81" s="115">
        <f>'[8]FY20 Initial Budget Allocat (2)'!BR81/'FY20 Initial Budget Allocat FTE'!BR$121</f>
        <v>0</v>
      </c>
      <c r="BS81" s="115">
        <f>'[8]FY20 Initial Budget Allocat (2)'!BS81/'FY20 Initial Budget Allocat FTE'!BS$121</f>
        <v>0</v>
      </c>
      <c r="BT81" s="115">
        <f>'[8]FY20 Initial Budget Allocat (2)'!BT81/'FY20 Initial Budget Allocat FTE'!BT$121</f>
        <v>0</v>
      </c>
      <c r="BU81" s="115">
        <f>'[8]FY20 Initial Budget Allocat (2)'!BU81/'FY20 Initial Budget Allocat FTE'!BU$121</f>
        <v>0</v>
      </c>
      <c r="BV81" s="115">
        <f>'[8]FY20 Initial Budget Allocat (2)'!BV81/'FY20 Initial Budget Allocat FTE'!BV$121</f>
        <v>0</v>
      </c>
      <c r="BW81" s="80">
        <v>0</v>
      </c>
      <c r="BX81" s="80">
        <v>0</v>
      </c>
      <c r="BY81" s="80">
        <v>0</v>
      </c>
      <c r="BZ81" s="80">
        <v>45000</v>
      </c>
      <c r="CA81" s="115">
        <f>'[8]FY20 Initial Budget Allocat (2)'!CA81/'FY20 Initial Budget Allocat FTE'!CA$121</f>
        <v>0</v>
      </c>
      <c r="CB81" s="115">
        <f>'[8]FY20 Initial Budget Allocat (2)'!CB81/'FY20 Initial Budget Allocat FTE'!CB$121</f>
        <v>0</v>
      </c>
      <c r="CC81" s="80">
        <v>0</v>
      </c>
      <c r="CD81" s="115">
        <f>'[8]FY20 Initial Budget Allocat (2)'!CD81/'FY20 Initial Budget Allocat FTE'!CD$121</f>
        <v>2</v>
      </c>
      <c r="CE81" s="115">
        <f>'[8]FY20 Initial Budget Allocat (2)'!CE81/'FY20 Initial Budget Allocat FTE'!CE$121</f>
        <v>1</v>
      </c>
      <c r="CF81" s="115">
        <f>'[8]FY20 Initial Budget Allocat (2)'!CF81/'FY20 Initial Budget Allocat FTE'!CF$121</f>
        <v>1</v>
      </c>
      <c r="CG81" s="115">
        <f>'[8]FY20 Initial Budget Allocat (2)'!CG81/'FY20 Initial Budget Allocat FTE'!CG$121</f>
        <v>1</v>
      </c>
      <c r="CH81" s="115">
        <f>'[8]FY20 Initial Budget Allocat (2)'!CH81/'FY20 Initial Budget Allocat FTE'!CH$121</f>
        <v>0</v>
      </c>
      <c r="CI81" s="115">
        <f>'[8]FY20 Initial Budget Allocat (2)'!CI81/'FY20 Initial Budget Allocat FTE'!CI$121</f>
        <v>0</v>
      </c>
      <c r="CJ81" s="115">
        <f>'[8]FY20 Initial Budget Allocat (2)'!CJ81/'FY20 Initial Budget Allocat FTE'!CJ$121</f>
        <v>0</v>
      </c>
      <c r="CK81" s="79">
        <v>0</v>
      </c>
      <c r="CL81" s="79">
        <v>0</v>
      </c>
      <c r="CM81" s="79">
        <v>295048.09999999998</v>
      </c>
      <c r="CN81" s="79">
        <v>0</v>
      </c>
      <c r="CO81" s="115">
        <f>'[8]FY20 Initial Budget Allocat (2)'!CO81/'FY20 Initial Budget Allocat FTE'!CO$121</f>
        <v>1</v>
      </c>
      <c r="CP81" s="79">
        <v>0</v>
      </c>
      <c r="CQ81" s="79">
        <v>3718.397435897436</v>
      </c>
      <c r="CR81" s="79">
        <v>0</v>
      </c>
      <c r="CS81" s="79">
        <v>37984.747675781255</v>
      </c>
      <c r="CT81" s="115">
        <f>'[8]FY20 Initial Budget Allocat (2)'!CT81/'FY20 Initial Budget Allocat FTE'!CT$121</f>
        <v>0</v>
      </c>
      <c r="CU81" s="115">
        <f>'[8]FY20 Initial Budget Allocat (2)'!CU81/'FY20 Initial Budget Allocat FTE'!CU$121</f>
        <v>0</v>
      </c>
      <c r="CV81" s="79"/>
      <c r="CW81" s="79">
        <v>0</v>
      </c>
      <c r="CX81" s="115">
        <f>'[8]FY20 Initial Budget Allocat (2)'!CX81/'FY20 Initial Budget Allocat FTE'!CX$121</f>
        <v>0</v>
      </c>
      <c r="CY81" s="79">
        <v>0</v>
      </c>
      <c r="CZ81" s="79">
        <v>0</v>
      </c>
      <c r="DA81" s="79">
        <v>26900</v>
      </c>
      <c r="DB81" s="79">
        <v>58458.288257279477</v>
      </c>
      <c r="DC81" s="82">
        <v>0</v>
      </c>
      <c r="DD81" s="79">
        <v>0</v>
      </c>
      <c r="DE81" s="79"/>
      <c r="DF81" s="79">
        <v>7600</v>
      </c>
      <c r="DG81" s="79">
        <v>0</v>
      </c>
      <c r="DH81" s="83">
        <v>0</v>
      </c>
      <c r="DI81" s="79">
        <v>17962.342726085368</v>
      </c>
      <c r="DJ81" s="79">
        <v>4831870.1933169635</v>
      </c>
      <c r="DK81" s="84">
        <v>163671.8066830365</v>
      </c>
      <c r="DL81" s="84">
        <v>0</v>
      </c>
      <c r="DM81" s="84">
        <f t="shared" si="6"/>
        <v>4995542</v>
      </c>
      <c r="DN81" s="116">
        <f t="shared" si="7"/>
        <v>0</v>
      </c>
      <c r="DO81" s="116">
        <f t="shared" si="8"/>
        <v>0</v>
      </c>
      <c r="DP81" s="116">
        <f t="shared" si="9"/>
        <v>15</v>
      </c>
      <c r="DQ81" s="116">
        <f t="shared" si="10"/>
        <v>7</v>
      </c>
      <c r="DR81" s="116">
        <f t="shared" si="11"/>
        <v>0</v>
      </c>
    </row>
    <row r="82" spans="1:122" x14ac:dyDescent="0.25">
      <c r="A82" s="76">
        <v>299</v>
      </c>
      <c r="B82" s="76" t="s">
        <v>221</v>
      </c>
      <c r="C82" s="77" t="s">
        <v>135</v>
      </c>
      <c r="D82" s="41">
        <v>7</v>
      </c>
      <c r="E82" s="78">
        <v>300</v>
      </c>
      <c r="F82" s="78">
        <v>247</v>
      </c>
      <c r="G82" s="115">
        <f>'[8]FY20 Initial Budget Allocat (2)'!G82/'FY20 Initial Budget Allocat FTE'!G$121</f>
        <v>1</v>
      </c>
      <c r="H82" s="115">
        <f>'[8]FY20 Initial Budget Allocat (2)'!H82/'FY20 Initial Budget Allocat FTE'!H$121</f>
        <v>1</v>
      </c>
      <c r="I82" s="115">
        <f>'[8]FY20 Initial Budget Allocat (2)'!I82/'FY20 Initial Budget Allocat FTE'!I$121</f>
        <v>0.8</v>
      </c>
      <c r="J82" s="115">
        <f>'[8]FY20 Initial Budget Allocat (2)'!J82/'FY20 Initial Budget Allocat FTE'!J$121</f>
        <v>0</v>
      </c>
      <c r="K82" s="115">
        <f>'[8]FY20 Initial Budget Allocat (2)'!K82/'FY20 Initial Budget Allocat FTE'!K$121</f>
        <v>0</v>
      </c>
      <c r="L82" s="115">
        <f>'[8]FY20 Initial Budget Allocat (2)'!L82/'FY20 Initial Budget Allocat FTE'!L$121</f>
        <v>1</v>
      </c>
      <c r="M82" s="115">
        <f>'[8]FY20 Initial Budget Allocat (2)'!M82/'FY20 Initial Budget Allocat FTE'!M$121</f>
        <v>1</v>
      </c>
      <c r="N82" s="115">
        <f>'[8]FY20 Initial Budget Allocat (2)'!N82/'FY20 Initial Budget Allocat FTE'!N$121</f>
        <v>0</v>
      </c>
      <c r="O82" s="115">
        <f>'[8]FY20 Initial Budget Allocat (2)'!O82/'FY20 Initial Budget Allocat FTE'!O$121</f>
        <v>0</v>
      </c>
      <c r="P82" s="115">
        <f>'[8]FY20 Initial Budget Allocat (2)'!P82/'FY20 Initial Budget Allocat FTE'!P$121</f>
        <v>0</v>
      </c>
      <c r="Q82" s="115">
        <f>'[8]FY20 Initial Budget Allocat (2)'!Q82/'FY20 Initial Budget Allocat FTE'!Q$121</f>
        <v>0</v>
      </c>
      <c r="R82" s="115">
        <f>'[8]FY20 Initial Budget Allocat (2)'!R82/'FY20 Initial Budget Allocat FTE'!R$121</f>
        <v>1</v>
      </c>
      <c r="S82" s="115">
        <f>'[8]FY20 Initial Budget Allocat (2)'!S82/'FY20 Initial Budget Allocat FTE'!S$121</f>
        <v>1</v>
      </c>
      <c r="T82" s="115">
        <f>'[8]FY20 Initial Budget Allocat (2)'!T82/'FY20 Initial Budget Allocat FTE'!T$121</f>
        <v>1</v>
      </c>
      <c r="U82" s="115">
        <f>'[8]FY20 Initial Budget Allocat (2)'!U82/'FY20 Initial Budget Allocat FTE'!U$121</f>
        <v>1</v>
      </c>
      <c r="V82" s="115">
        <f>'[8]FY20 Initial Budget Allocat (2)'!V82/'FY20 Initial Budget Allocat FTE'!V$121</f>
        <v>1</v>
      </c>
      <c r="W82" s="115">
        <f>'[8]FY20 Initial Budget Allocat (2)'!W82/'FY20 Initial Budget Allocat FTE'!W$121</f>
        <v>1</v>
      </c>
      <c r="X82" s="115">
        <f>'[8]FY20 Initial Budget Allocat (2)'!X82/'FY20 Initial Budget Allocat FTE'!X$121</f>
        <v>1</v>
      </c>
      <c r="Y82" s="115">
        <f>'[8]FY20 Initial Budget Allocat (2)'!Y82/'FY20 Initial Budget Allocat FTE'!Y$121</f>
        <v>-3.0673717676069148E-15</v>
      </c>
      <c r="Z82" s="115">
        <f>'[8]FY20 Initial Budget Allocat (2)'!Z82/'FY20 Initial Budget Allocat FTE'!Z$121</f>
        <v>1</v>
      </c>
      <c r="AA82" s="115">
        <f>'[8]FY20 Initial Budget Allocat (2)'!AA82/'FY20 Initial Budget Allocat FTE'!AA$121</f>
        <v>0</v>
      </c>
      <c r="AB82" s="115">
        <f>'[8]FY20 Initial Budget Allocat (2)'!AB82/'FY20 Initial Budget Allocat FTE'!AB$121</f>
        <v>0</v>
      </c>
      <c r="AC82" s="115">
        <f>'[8]FY20 Initial Budget Allocat (2)'!AC82/'FY20 Initial Budget Allocat FTE'!AC$121</f>
        <v>4</v>
      </c>
      <c r="AD82" s="115">
        <f>'[8]FY20 Initial Budget Allocat (2)'!AD82/'FY20 Initial Budget Allocat FTE'!AD$121</f>
        <v>4</v>
      </c>
      <c r="AE82" s="115">
        <f>'[8]FY20 Initial Budget Allocat (2)'!AE82/'FY20 Initial Budget Allocat FTE'!AE$121</f>
        <v>0</v>
      </c>
      <c r="AF82" s="115">
        <f>'[8]FY20 Initial Budget Allocat (2)'!AF82/'FY20 Initial Budget Allocat FTE'!AF$121</f>
        <v>0</v>
      </c>
      <c r="AG82" s="115">
        <f>'[8]FY20 Initial Budget Allocat (2)'!AG82/'FY20 Initial Budget Allocat FTE'!AG$121</f>
        <v>2</v>
      </c>
      <c r="AH82" s="115">
        <f>'[8]FY20 Initial Budget Allocat (2)'!AH82/'FY20 Initial Budget Allocat FTE'!AH$121</f>
        <v>2</v>
      </c>
      <c r="AI82" s="115">
        <f>'[8]FY20 Initial Budget Allocat (2)'!AI82/'FY20 Initial Budget Allocat FTE'!AI$121</f>
        <v>2</v>
      </c>
      <c r="AJ82" s="115">
        <f>'[8]FY20 Initial Budget Allocat (2)'!AJ82/'FY20 Initial Budget Allocat FTE'!AJ$121</f>
        <v>2</v>
      </c>
      <c r="AK82" s="115">
        <f>'[8]FY20 Initial Budget Allocat (2)'!AK82/'FY20 Initial Budget Allocat FTE'!AK$121</f>
        <v>2</v>
      </c>
      <c r="AL82" s="115">
        <f>'[8]FY20 Initial Budget Allocat (2)'!AL82/'FY20 Initial Budget Allocat FTE'!AL$121</f>
        <v>2</v>
      </c>
      <c r="AM82" s="115">
        <f>'[8]FY20 Initial Budget Allocat (2)'!AM82/'FY20 Initial Budget Allocat FTE'!AM$121</f>
        <v>2</v>
      </c>
      <c r="AN82" s="115">
        <f>'[8]FY20 Initial Budget Allocat (2)'!AN82/'FY20 Initial Budget Allocat FTE'!AN$121</f>
        <v>0</v>
      </c>
      <c r="AO82" s="115">
        <f>'[8]FY20 Initial Budget Allocat (2)'!AO82/'FY20 Initial Budget Allocat FTE'!AO$121</f>
        <v>0</v>
      </c>
      <c r="AP82" s="115">
        <f>'[8]FY20 Initial Budget Allocat (2)'!AP82/'FY20 Initial Budget Allocat FTE'!AP$121</f>
        <v>0</v>
      </c>
      <c r="AQ82" s="115">
        <f>'[8]FY20 Initial Budget Allocat (2)'!AQ82/'FY20 Initial Budget Allocat FTE'!AQ$121</f>
        <v>0</v>
      </c>
      <c r="AR82" s="115">
        <f>'[8]FY20 Initial Budget Allocat (2)'!AR82/'FY20 Initial Budget Allocat FTE'!AR$121</f>
        <v>0</v>
      </c>
      <c r="AS82" s="115">
        <f>'[8]FY20 Initial Budget Allocat (2)'!AS82/'FY20 Initial Budget Allocat FTE'!AS$121</f>
        <v>0</v>
      </c>
      <c r="AT82" s="115">
        <f>'[8]FY20 Initial Budget Allocat (2)'!AT82/'FY20 Initial Budget Allocat FTE'!AT$121</f>
        <v>0</v>
      </c>
      <c r="AU82" s="115">
        <f>'[8]FY20 Initial Budget Allocat (2)'!AU82/'FY20 Initial Budget Allocat FTE'!AU$121</f>
        <v>0</v>
      </c>
      <c r="AV82" s="115">
        <f>'[8]FY20 Initial Budget Allocat (2)'!AV82/'FY20 Initial Budget Allocat FTE'!AV$121</f>
        <v>0</v>
      </c>
      <c r="AW82" s="115">
        <f>'[8]FY20 Initial Budget Allocat (2)'!AW82/'FY20 Initial Budget Allocat FTE'!AW$121</f>
        <v>0</v>
      </c>
      <c r="AX82" s="115">
        <f>'[8]FY20 Initial Budget Allocat (2)'!AX82/'FY20 Initial Budget Allocat FTE'!AX$121</f>
        <v>1</v>
      </c>
      <c r="AY82" s="115">
        <f>'[8]FY20 Initial Budget Allocat (2)'!AY82/'FY20 Initial Budget Allocat FTE'!AY$121</f>
        <v>1</v>
      </c>
      <c r="AZ82" s="115">
        <f>'[8]FY20 Initial Budget Allocat (2)'!AZ82/'FY20 Initial Budget Allocat FTE'!AZ$121</f>
        <v>6.0000000000000009</v>
      </c>
      <c r="BA82" s="115">
        <f>'[8]FY20 Initial Budget Allocat (2)'!BA82/'FY20 Initial Budget Allocat FTE'!BA$121</f>
        <v>6</v>
      </c>
      <c r="BB82" s="115">
        <f>'[8]FY20 Initial Budget Allocat (2)'!BB82/'FY20 Initial Budget Allocat FTE'!BB$121</f>
        <v>0</v>
      </c>
      <c r="BC82" s="115">
        <f>'[8]FY20 Initial Budget Allocat (2)'!BC82/'FY20 Initial Budget Allocat FTE'!BC$121</f>
        <v>0</v>
      </c>
      <c r="BD82" s="115">
        <f>'[8]FY20 Initial Budget Allocat (2)'!BD82/'FY20 Initial Budget Allocat FTE'!BD$121</f>
        <v>1</v>
      </c>
      <c r="BE82" s="115">
        <f>'[8]FY20 Initial Budget Allocat (2)'!BE82/'FY20 Initial Budget Allocat FTE'!BE$121</f>
        <v>0</v>
      </c>
      <c r="BF82" s="115">
        <f>'[8]FY20 Initial Budget Allocat (2)'!BF82/'FY20 Initial Budget Allocat FTE'!BF$121</f>
        <v>0</v>
      </c>
      <c r="BG82" s="115">
        <f>'[8]FY20 Initial Budget Allocat (2)'!BG82/'FY20 Initial Budget Allocat FTE'!BG$121</f>
        <v>2.0003341129301706</v>
      </c>
      <c r="BH82" s="115">
        <f>'[8]FY20 Initial Budget Allocat (2)'!BH82/'FY20 Initial Budget Allocat FTE'!BH$121</f>
        <v>7</v>
      </c>
      <c r="BI82" s="115">
        <f>'[8]FY20 Initial Budget Allocat (2)'!BI82/'FY20 Initial Budget Allocat FTE'!BI$121</f>
        <v>1</v>
      </c>
      <c r="BJ82" s="79"/>
      <c r="BK82" s="79">
        <v>0</v>
      </c>
      <c r="BL82" s="79">
        <v>29928</v>
      </c>
      <c r="BM82" s="79">
        <v>177795.54</v>
      </c>
      <c r="BN82" s="79">
        <v>2829.19</v>
      </c>
      <c r="BO82" s="79">
        <v>0</v>
      </c>
      <c r="BP82" s="115">
        <f>'[8]FY20 Initial Budget Allocat (2)'!BP82/'FY20 Initial Budget Allocat FTE'!BP$121</f>
        <v>0</v>
      </c>
      <c r="BQ82" s="115">
        <f>'[8]FY20 Initial Budget Allocat (2)'!BQ82/'FY20 Initial Budget Allocat FTE'!BQ$121</f>
        <v>0</v>
      </c>
      <c r="BR82" s="115">
        <f>'[8]FY20 Initial Budget Allocat (2)'!BR82/'FY20 Initial Budget Allocat FTE'!BR$121</f>
        <v>0</v>
      </c>
      <c r="BS82" s="115">
        <f>'[8]FY20 Initial Budget Allocat (2)'!BS82/'FY20 Initial Budget Allocat FTE'!BS$121</f>
        <v>0</v>
      </c>
      <c r="BT82" s="115">
        <f>'[8]FY20 Initial Budget Allocat (2)'!BT82/'FY20 Initial Budget Allocat FTE'!BT$121</f>
        <v>0</v>
      </c>
      <c r="BU82" s="115">
        <f>'[8]FY20 Initial Budget Allocat (2)'!BU82/'FY20 Initial Budget Allocat FTE'!BU$121</f>
        <v>0</v>
      </c>
      <c r="BV82" s="115">
        <f>'[8]FY20 Initial Budget Allocat (2)'!BV82/'FY20 Initial Budget Allocat FTE'!BV$121</f>
        <v>0</v>
      </c>
      <c r="BW82" s="80">
        <v>0</v>
      </c>
      <c r="BX82" s="80">
        <v>0</v>
      </c>
      <c r="BY82" s="80">
        <v>0</v>
      </c>
      <c r="BZ82" s="80">
        <v>0</v>
      </c>
      <c r="CA82" s="115">
        <f>'[8]FY20 Initial Budget Allocat (2)'!CA82/'FY20 Initial Budget Allocat FTE'!CA$121</f>
        <v>0</v>
      </c>
      <c r="CB82" s="115">
        <f>'[8]FY20 Initial Budget Allocat (2)'!CB82/'FY20 Initial Budget Allocat FTE'!CB$121</f>
        <v>0</v>
      </c>
      <c r="CC82" s="80">
        <v>0</v>
      </c>
      <c r="CD82" s="115">
        <f>'[8]FY20 Initial Budget Allocat (2)'!CD82/'FY20 Initial Budget Allocat FTE'!CD$121</f>
        <v>0</v>
      </c>
      <c r="CE82" s="115">
        <f>'[8]FY20 Initial Budget Allocat (2)'!CE82/'FY20 Initial Budget Allocat FTE'!CE$121</f>
        <v>0</v>
      </c>
      <c r="CF82" s="115">
        <f>'[8]FY20 Initial Budget Allocat (2)'!CF82/'FY20 Initial Budget Allocat FTE'!CF$121</f>
        <v>0</v>
      </c>
      <c r="CG82" s="115">
        <f>'[8]FY20 Initial Budget Allocat (2)'!CG82/'FY20 Initial Budget Allocat FTE'!CG$121</f>
        <v>0</v>
      </c>
      <c r="CH82" s="115">
        <f>'[8]FY20 Initial Budget Allocat (2)'!CH82/'FY20 Initial Budget Allocat FTE'!CH$121</f>
        <v>0</v>
      </c>
      <c r="CI82" s="115">
        <f>'[8]FY20 Initial Budget Allocat (2)'!CI82/'FY20 Initial Budget Allocat FTE'!CI$121</f>
        <v>0</v>
      </c>
      <c r="CJ82" s="115">
        <f>'[8]FY20 Initial Budget Allocat (2)'!CJ82/'FY20 Initial Budget Allocat FTE'!CJ$121</f>
        <v>0</v>
      </c>
      <c r="CK82" s="79">
        <v>0</v>
      </c>
      <c r="CL82" s="79">
        <v>0</v>
      </c>
      <c r="CM82" s="79">
        <v>54082.8</v>
      </c>
      <c r="CN82" s="79">
        <v>0</v>
      </c>
      <c r="CO82" s="115">
        <f>'[8]FY20 Initial Budget Allocat (2)'!CO82/'FY20 Initial Budget Allocat FTE'!CO$121</f>
        <v>0</v>
      </c>
      <c r="CP82" s="79">
        <v>0</v>
      </c>
      <c r="CQ82" s="79">
        <v>9880</v>
      </c>
      <c r="CR82" s="79">
        <v>0</v>
      </c>
      <c r="CS82" s="79">
        <v>17229.660714285714</v>
      </c>
      <c r="CT82" s="115">
        <f>'[8]FY20 Initial Budget Allocat (2)'!CT82/'FY20 Initial Budget Allocat FTE'!CT$121</f>
        <v>0</v>
      </c>
      <c r="CU82" s="115">
        <f>'[8]FY20 Initial Budget Allocat (2)'!CU82/'FY20 Initial Budget Allocat FTE'!CU$121</f>
        <v>0</v>
      </c>
      <c r="CV82" s="79"/>
      <c r="CW82" s="79">
        <v>0</v>
      </c>
      <c r="CX82" s="115">
        <f>'[8]FY20 Initial Budget Allocat (2)'!CX82/'FY20 Initial Budget Allocat FTE'!CX$121</f>
        <v>0</v>
      </c>
      <c r="CY82" s="79">
        <v>0</v>
      </c>
      <c r="CZ82" s="79">
        <v>0</v>
      </c>
      <c r="DA82" s="79">
        <v>30000</v>
      </c>
      <c r="DB82" s="79">
        <v>70755.126142290479</v>
      </c>
      <c r="DC82" s="82">
        <v>0</v>
      </c>
      <c r="DD82" s="79">
        <v>0</v>
      </c>
      <c r="DE82" s="79"/>
      <c r="DF82" s="79">
        <v>24600</v>
      </c>
      <c r="DG82" s="79">
        <v>0</v>
      </c>
      <c r="DH82" s="83">
        <v>112030.49209812414</v>
      </c>
      <c r="DI82" s="79">
        <v>16606.170469246616</v>
      </c>
      <c r="DJ82" s="79">
        <v>4981851.1407739846</v>
      </c>
      <c r="DK82" s="84">
        <v>-7.7398493885993958E-4</v>
      </c>
      <c r="DL82" s="84">
        <v>109149.41</v>
      </c>
      <c r="DM82" s="84">
        <f t="shared" si="6"/>
        <v>5091000.55</v>
      </c>
      <c r="DN82" s="116">
        <f t="shared" si="7"/>
        <v>6</v>
      </c>
      <c r="DO82" s="116">
        <f t="shared" si="8"/>
        <v>6</v>
      </c>
      <c r="DP82" s="116">
        <f t="shared" si="9"/>
        <v>10</v>
      </c>
      <c r="DQ82" s="116">
        <f t="shared" si="10"/>
        <v>9</v>
      </c>
      <c r="DR82" s="116">
        <f t="shared" si="11"/>
        <v>6</v>
      </c>
    </row>
    <row r="83" spans="1:122" x14ac:dyDescent="0.25">
      <c r="A83" s="76">
        <v>300</v>
      </c>
      <c r="B83" s="76" t="s">
        <v>222</v>
      </c>
      <c r="C83" s="77" t="s">
        <v>135</v>
      </c>
      <c r="D83" s="41">
        <v>4</v>
      </c>
      <c r="E83" s="78">
        <v>520</v>
      </c>
      <c r="F83" s="78">
        <v>262.05970149253733</v>
      </c>
      <c r="G83" s="115">
        <f>'[8]FY20 Initial Budget Allocat (2)'!G83/'FY20 Initial Budget Allocat FTE'!G$121</f>
        <v>1</v>
      </c>
      <c r="H83" s="115">
        <f>'[8]FY20 Initial Budget Allocat (2)'!H83/'FY20 Initial Budget Allocat FTE'!H$121</f>
        <v>1</v>
      </c>
      <c r="I83" s="115">
        <f>'[8]FY20 Initial Budget Allocat (2)'!I83/'FY20 Initial Budget Allocat FTE'!I$121</f>
        <v>1.3</v>
      </c>
      <c r="J83" s="115">
        <f>'[8]FY20 Initial Budget Allocat (2)'!J83/'FY20 Initial Budget Allocat FTE'!J$121</f>
        <v>0</v>
      </c>
      <c r="K83" s="115">
        <f>'[8]FY20 Initial Budget Allocat (2)'!K83/'FY20 Initial Budget Allocat FTE'!K$121</f>
        <v>0</v>
      </c>
      <c r="L83" s="115">
        <f>'[8]FY20 Initial Budget Allocat (2)'!L83/'FY20 Initial Budget Allocat FTE'!L$121</f>
        <v>1</v>
      </c>
      <c r="M83" s="115">
        <f>'[8]FY20 Initial Budget Allocat (2)'!M83/'FY20 Initial Budget Allocat FTE'!M$121</f>
        <v>1</v>
      </c>
      <c r="N83" s="115">
        <f>'[8]FY20 Initial Budget Allocat (2)'!N83/'FY20 Initial Budget Allocat FTE'!N$121</f>
        <v>1.3</v>
      </c>
      <c r="O83" s="115">
        <f>'[8]FY20 Initial Budget Allocat (2)'!O83/'FY20 Initial Budget Allocat FTE'!O$121</f>
        <v>0</v>
      </c>
      <c r="P83" s="115">
        <f>'[8]FY20 Initial Budget Allocat (2)'!P83/'FY20 Initial Budget Allocat FTE'!P$121</f>
        <v>0</v>
      </c>
      <c r="Q83" s="115">
        <f>'[8]FY20 Initial Budget Allocat (2)'!Q83/'FY20 Initial Budget Allocat FTE'!Q$121</f>
        <v>0</v>
      </c>
      <c r="R83" s="115">
        <f>'[8]FY20 Initial Budget Allocat (2)'!R83/'FY20 Initial Budget Allocat FTE'!R$121</f>
        <v>1</v>
      </c>
      <c r="S83" s="115">
        <f>'[8]FY20 Initial Budget Allocat (2)'!S83/'FY20 Initial Budget Allocat FTE'!S$121</f>
        <v>1</v>
      </c>
      <c r="T83" s="115">
        <f>'[8]FY20 Initial Budget Allocat (2)'!T83/'FY20 Initial Budget Allocat FTE'!T$121</f>
        <v>3</v>
      </c>
      <c r="U83" s="115">
        <f>'[8]FY20 Initial Budget Allocat (2)'!U83/'FY20 Initial Budget Allocat FTE'!U$121</f>
        <v>1</v>
      </c>
      <c r="V83" s="115">
        <f>'[8]FY20 Initial Budget Allocat (2)'!V83/'FY20 Initial Budget Allocat FTE'!V$121</f>
        <v>1</v>
      </c>
      <c r="W83" s="115">
        <f>'[8]FY20 Initial Budget Allocat (2)'!W83/'FY20 Initial Budget Allocat FTE'!W$121</f>
        <v>1</v>
      </c>
      <c r="X83" s="115">
        <f>'[8]FY20 Initial Budget Allocat (2)'!X83/'FY20 Initial Budget Allocat FTE'!X$121</f>
        <v>1</v>
      </c>
      <c r="Y83" s="115">
        <f>'[8]FY20 Initial Budget Allocat (2)'!Y83/'FY20 Initial Budget Allocat FTE'!Y$121</f>
        <v>1.5000000000000002</v>
      </c>
      <c r="Z83" s="115">
        <f>'[8]FY20 Initial Budget Allocat (2)'!Z83/'FY20 Initial Budget Allocat FTE'!Z$121</f>
        <v>0</v>
      </c>
      <c r="AA83" s="115">
        <f>'[8]FY20 Initial Budget Allocat (2)'!AA83/'FY20 Initial Budget Allocat FTE'!AA$121</f>
        <v>0</v>
      </c>
      <c r="AB83" s="115">
        <f>'[8]FY20 Initial Budget Allocat (2)'!AB83/'FY20 Initial Budget Allocat FTE'!AB$121</f>
        <v>0</v>
      </c>
      <c r="AC83" s="115">
        <f>'[8]FY20 Initial Budget Allocat (2)'!AC83/'FY20 Initial Budget Allocat FTE'!AC$121</f>
        <v>5</v>
      </c>
      <c r="AD83" s="115">
        <f>'[8]FY20 Initial Budget Allocat (2)'!AD83/'FY20 Initial Budget Allocat FTE'!AD$121</f>
        <v>5</v>
      </c>
      <c r="AE83" s="115">
        <f>'[8]FY20 Initial Budget Allocat (2)'!AE83/'FY20 Initial Budget Allocat FTE'!AE$121</f>
        <v>0</v>
      </c>
      <c r="AF83" s="115">
        <f>'[8]FY20 Initial Budget Allocat (2)'!AF83/'FY20 Initial Budget Allocat FTE'!AF$121</f>
        <v>0</v>
      </c>
      <c r="AG83" s="115">
        <f>'[8]FY20 Initial Budget Allocat (2)'!AG83/'FY20 Initial Budget Allocat FTE'!AG$121</f>
        <v>3.0000000000000004</v>
      </c>
      <c r="AH83" s="115">
        <f>'[8]FY20 Initial Budget Allocat (2)'!AH83/'FY20 Initial Budget Allocat FTE'!AH$121</f>
        <v>3</v>
      </c>
      <c r="AI83" s="115">
        <f>'[8]FY20 Initial Budget Allocat (2)'!AI83/'FY20 Initial Budget Allocat FTE'!AI$121</f>
        <v>4</v>
      </c>
      <c r="AJ83" s="115">
        <f>'[8]FY20 Initial Budget Allocat (2)'!AJ83/'FY20 Initial Budget Allocat FTE'!AJ$121</f>
        <v>3.0000000000000004</v>
      </c>
      <c r="AK83" s="115">
        <f>'[8]FY20 Initial Budget Allocat (2)'!AK83/'FY20 Initial Budget Allocat FTE'!AK$121</f>
        <v>3.0000000000000004</v>
      </c>
      <c r="AL83" s="115">
        <f>'[8]FY20 Initial Budget Allocat (2)'!AL83/'FY20 Initial Budget Allocat FTE'!AL$121</f>
        <v>4</v>
      </c>
      <c r="AM83" s="115">
        <f>'[8]FY20 Initial Budget Allocat (2)'!AM83/'FY20 Initial Budget Allocat FTE'!AM$121</f>
        <v>3.0000000000000004</v>
      </c>
      <c r="AN83" s="115">
        <f>'[8]FY20 Initial Budget Allocat (2)'!AN83/'FY20 Initial Budget Allocat FTE'!AN$121</f>
        <v>0</v>
      </c>
      <c r="AO83" s="115">
        <f>'[8]FY20 Initial Budget Allocat (2)'!AO83/'FY20 Initial Budget Allocat FTE'!AO$121</f>
        <v>0</v>
      </c>
      <c r="AP83" s="115">
        <f>'[8]FY20 Initial Budget Allocat (2)'!AP83/'FY20 Initial Budget Allocat FTE'!AP$121</f>
        <v>0</v>
      </c>
      <c r="AQ83" s="115">
        <f>'[8]FY20 Initial Budget Allocat (2)'!AQ83/'FY20 Initial Budget Allocat FTE'!AQ$121</f>
        <v>0</v>
      </c>
      <c r="AR83" s="115">
        <f>'[8]FY20 Initial Budget Allocat (2)'!AR83/'FY20 Initial Budget Allocat FTE'!AR$121</f>
        <v>0</v>
      </c>
      <c r="AS83" s="115">
        <f>'[8]FY20 Initial Budget Allocat (2)'!AS83/'FY20 Initial Budget Allocat FTE'!AS$121</f>
        <v>0</v>
      </c>
      <c r="AT83" s="115">
        <f>'[8]FY20 Initial Budget Allocat (2)'!AT83/'FY20 Initial Budget Allocat FTE'!AT$121</f>
        <v>0</v>
      </c>
      <c r="AU83" s="115">
        <f>'[8]FY20 Initial Budget Allocat (2)'!AU83/'FY20 Initial Budget Allocat FTE'!AU$121</f>
        <v>0</v>
      </c>
      <c r="AV83" s="115">
        <f>'[8]FY20 Initial Budget Allocat (2)'!AV83/'FY20 Initial Budget Allocat FTE'!AV$121</f>
        <v>0</v>
      </c>
      <c r="AW83" s="115">
        <f>'[8]FY20 Initial Budget Allocat (2)'!AW83/'FY20 Initial Budget Allocat FTE'!AW$121</f>
        <v>0</v>
      </c>
      <c r="AX83" s="115">
        <f>'[8]FY20 Initial Budget Allocat (2)'!AX83/'FY20 Initial Budget Allocat FTE'!AX$121</f>
        <v>1</v>
      </c>
      <c r="AY83" s="115">
        <f>'[8]FY20 Initial Budget Allocat (2)'!AY83/'FY20 Initial Budget Allocat FTE'!AY$121</f>
        <v>1</v>
      </c>
      <c r="AZ83" s="115">
        <f>'[8]FY20 Initial Budget Allocat (2)'!AZ83/'FY20 Initial Budget Allocat FTE'!AZ$121</f>
        <v>6.0000000000000009</v>
      </c>
      <c r="BA83" s="115">
        <f>'[8]FY20 Initial Budget Allocat (2)'!BA83/'FY20 Initial Budget Allocat FTE'!BA$121</f>
        <v>0</v>
      </c>
      <c r="BB83" s="115">
        <f>'[8]FY20 Initial Budget Allocat (2)'!BB83/'FY20 Initial Budget Allocat FTE'!BB$121</f>
        <v>0</v>
      </c>
      <c r="BC83" s="115">
        <f>'[8]FY20 Initial Budget Allocat (2)'!BC83/'FY20 Initial Budget Allocat FTE'!BC$121</f>
        <v>0</v>
      </c>
      <c r="BD83" s="115">
        <f>'[8]FY20 Initial Budget Allocat (2)'!BD83/'FY20 Initial Budget Allocat FTE'!BD$121</f>
        <v>14</v>
      </c>
      <c r="BE83" s="115">
        <f>'[8]FY20 Initial Budget Allocat (2)'!BE83/'FY20 Initial Budget Allocat FTE'!BE$121</f>
        <v>0</v>
      </c>
      <c r="BF83" s="115">
        <f>'[8]FY20 Initial Budget Allocat (2)'!BF83/'FY20 Initial Budget Allocat FTE'!BF$121</f>
        <v>3.0000000000000004</v>
      </c>
      <c r="BG83" s="115">
        <f>'[8]FY20 Initial Budget Allocat (2)'!BG83/'FY20 Initial Budget Allocat FTE'!BG$121</f>
        <v>5.3130805212161709</v>
      </c>
      <c r="BH83" s="115">
        <f>'[8]FY20 Initial Budget Allocat (2)'!BH83/'FY20 Initial Budget Allocat FTE'!BH$121</f>
        <v>14</v>
      </c>
      <c r="BI83" s="115">
        <f>'[8]FY20 Initial Budget Allocat (2)'!BI83/'FY20 Initial Budget Allocat FTE'!BI$121</f>
        <v>0</v>
      </c>
      <c r="BJ83" s="79"/>
      <c r="BK83" s="79">
        <v>0</v>
      </c>
      <c r="BL83" s="79">
        <v>51999.9</v>
      </c>
      <c r="BM83" s="79">
        <v>259562.47</v>
      </c>
      <c r="BN83" s="79">
        <v>4130.3100000000004</v>
      </c>
      <c r="BO83" s="79">
        <v>0</v>
      </c>
      <c r="BP83" s="115">
        <f>'[8]FY20 Initial Budget Allocat (2)'!BP83/'FY20 Initial Budget Allocat FTE'!BP$121</f>
        <v>0</v>
      </c>
      <c r="BQ83" s="115">
        <f>'[8]FY20 Initial Budget Allocat (2)'!BQ83/'FY20 Initial Budget Allocat FTE'!BQ$121</f>
        <v>0</v>
      </c>
      <c r="BR83" s="115">
        <f>'[8]FY20 Initial Budget Allocat (2)'!BR83/'FY20 Initial Budget Allocat FTE'!BR$121</f>
        <v>0</v>
      </c>
      <c r="BS83" s="115">
        <f>'[8]FY20 Initial Budget Allocat (2)'!BS83/'FY20 Initial Budget Allocat FTE'!BS$121</f>
        <v>0</v>
      </c>
      <c r="BT83" s="115">
        <f>'[8]FY20 Initial Budget Allocat (2)'!BT83/'FY20 Initial Budget Allocat FTE'!BT$121</f>
        <v>0</v>
      </c>
      <c r="BU83" s="115">
        <f>'[8]FY20 Initial Budget Allocat (2)'!BU83/'FY20 Initial Budget Allocat FTE'!BU$121</f>
        <v>0</v>
      </c>
      <c r="BV83" s="115">
        <f>'[8]FY20 Initial Budget Allocat (2)'!BV83/'FY20 Initial Budget Allocat FTE'!BV$121</f>
        <v>0</v>
      </c>
      <c r="BW83" s="80">
        <v>0</v>
      </c>
      <c r="BX83" s="80">
        <v>0</v>
      </c>
      <c r="BY83" s="80">
        <v>0</v>
      </c>
      <c r="BZ83" s="80">
        <v>0</v>
      </c>
      <c r="CA83" s="115">
        <f>'[8]FY20 Initial Budget Allocat (2)'!CA83/'FY20 Initial Budget Allocat FTE'!CA$121</f>
        <v>0</v>
      </c>
      <c r="CB83" s="115">
        <f>'[8]FY20 Initial Budget Allocat (2)'!CB83/'FY20 Initial Budget Allocat FTE'!CB$121</f>
        <v>0</v>
      </c>
      <c r="CC83" s="80">
        <v>0</v>
      </c>
      <c r="CD83" s="115">
        <f>'[8]FY20 Initial Budget Allocat (2)'!CD83/'FY20 Initial Budget Allocat FTE'!CD$121</f>
        <v>0</v>
      </c>
      <c r="CE83" s="115">
        <f>'[8]FY20 Initial Budget Allocat (2)'!CE83/'FY20 Initial Budget Allocat FTE'!CE$121</f>
        <v>0</v>
      </c>
      <c r="CF83" s="115">
        <f>'[8]FY20 Initial Budget Allocat (2)'!CF83/'FY20 Initial Budget Allocat FTE'!CF$121</f>
        <v>0</v>
      </c>
      <c r="CG83" s="115">
        <f>'[8]FY20 Initial Budget Allocat (2)'!CG83/'FY20 Initial Budget Allocat FTE'!CG$121</f>
        <v>0</v>
      </c>
      <c r="CH83" s="115">
        <f>'[8]FY20 Initial Budget Allocat (2)'!CH83/'FY20 Initial Budget Allocat FTE'!CH$121</f>
        <v>0</v>
      </c>
      <c r="CI83" s="115">
        <f>'[8]FY20 Initial Budget Allocat (2)'!CI83/'FY20 Initial Budget Allocat FTE'!CI$121</f>
        <v>0</v>
      </c>
      <c r="CJ83" s="115">
        <f>'[8]FY20 Initial Budget Allocat (2)'!CJ83/'FY20 Initial Budget Allocat FTE'!CJ$121</f>
        <v>0</v>
      </c>
      <c r="CK83" s="79">
        <v>0</v>
      </c>
      <c r="CL83" s="79">
        <v>0</v>
      </c>
      <c r="CM83" s="79">
        <v>108165.6</v>
      </c>
      <c r="CN83" s="79">
        <v>0</v>
      </c>
      <c r="CO83" s="115">
        <f>'[8]FY20 Initial Budget Allocat (2)'!CO83/'FY20 Initial Budget Allocat FTE'!CO$121</f>
        <v>0</v>
      </c>
      <c r="CP83" s="79">
        <v>0</v>
      </c>
      <c r="CQ83" s="79">
        <v>5241.194029850747</v>
      </c>
      <c r="CR83" s="79">
        <v>146160</v>
      </c>
      <c r="CS83" s="79">
        <v>26121.416666666664</v>
      </c>
      <c r="CT83" s="115">
        <f>'[8]FY20 Initial Budget Allocat (2)'!CT83/'FY20 Initial Budget Allocat FTE'!CT$121</f>
        <v>0</v>
      </c>
      <c r="CU83" s="115">
        <f>'[8]FY20 Initial Budget Allocat (2)'!CU83/'FY20 Initial Budget Allocat FTE'!CU$121</f>
        <v>0</v>
      </c>
      <c r="CV83" s="79"/>
      <c r="CW83" s="79">
        <v>0</v>
      </c>
      <c r="CX83" s="115">
        <f>'[8]FY20 Initial Budget Allocat (2)'!CX83/'FY20 Initial Budget Allocat FTE'!CX$121</f>
        <v>0</v>
      </c>
      <c r="CY83" s="79">
        <v>0</v>
      </c>
      <c r="CZ83" s="79">
        <v>0</v>
      </c>
      <c r="DA83" s="79">
        <v>52000</v>
      </c>
      <c r="DB83" s="79">
        <v>119330.5093229101</v>
      </c>
      <c r="DC83" s="82">
        <v>0</v>
      </c>
      <c r="DD83" s="79">
        <v>0</v>
      </c>
      <c r="DE83" s="79"/>
      <c r="DF83" s="79">
        <v>39550</v>
      </c>
      <c r="DG83" s="79">
        <v>0</v>
      </c>
      <c r="DH83" s="83">
        <v>0</v>
      </c>
      <c r="DI83" s="79">
        <v>15746.743033113102</v>
      </c>
      <c r="DJ83" s="79">
        <v>8188306.3772188146</v>
      </c>
      <c r="DK83" s="84">
        <v>2.7811853215098381E-3</v>
      </c>
      <c r="DL83" s="84">
        <v>0</v>
      </c>
      <c r="DM83" s="84">
        <f t="shared" si="6"/>
        <v>8188306.3799999999</v>
      </c>
      <c r="DN83" s="116">
        <f t="shared" si="7"/>
        <v>8</v>
      </c>
      <c r="DO83" s="116">
        <f t="shared" si="8"/>
        <v>8</v>
      </c>
      <c r="DP83" s="116">
        <f t="shared" si="9"/>
        <v>17</v>
      </c>
      <c r="DQ83" s="116">
        <f t="shared" si="10"/>
        <v>25</v>
      </c>
      <c r="DR83" s="116">
        <f t="shared" si="11"/>
        <v>0</v>
      </c>
    </row>
    <row r="84" spans="1:122" x14ac:dyDescent="0.25">
      <c r="A84" s="76">
        <v>316</v>
      </c>
      <c r="B84" s="76" t="s">
        <v>223</v>
      </c>
      <c r="C84" s="77" t="s">
        <v>135</v>
      </c>
      <c r="D84" s="41">
        <v>7</v>
      </c>
      <c r="E84" s="78">
        <v>339</v>
      </c>
      <c r="F84" s="78">
        <v>215.50437317784255</v>
      </c>
      <c r="G84" s="115">
        <f>'[8]FY20 Initial Budget Allocat (2)'!G84/'FY20 Initial Budget Allocat FTE'!G$121</f>
        <v>1</v>
      </c>
      <c r="H84" s="115">
        <f>'[8]FY20 Initial Budget Allocat (2)'!H84/'FY20 Initial Budget Allocat FTE'!H$121</f>
        <v>1</v>
      </c>
      <c r="I84" s="115">
        <f>'[8]FY20 Initial Budget Allocat (2)'!I84/'FY20 Initial Budget Allocat FTE'!I$121</f>
        <v>0.8</v>
      </c>
      <c r="J84" s="115">
        <f>'[8]FY20 Initial Budget Allocat (2)'!J84/'FY20 Initial Budget Allocat FTE'!J$121</f>
        <v>0</v>
      </c>
      <c r="K84" s="115">
        <f>'[8]FY20 Initial Budget Allocat (2)'!K84/'FY20 Initial Budget Allocat FTE'!K$121</f>
        <v>0</v>
      </c>
      <c r="L84" s="115">
        <f>'[8]FY20 Initial Budget Allocat (2)'!L84/'FY20 Initial Budget Allocat FTE'!L$121</f>
        <v>1</v>
      </c>
      <c r="M84" s="115">
        <f>'[8]FY20 Initial Budget Allocat (2)'!M84/'FY20 Initial Budget Allocat FTE'!M$121</f>
        <v>1</v>
      </c>
      <c r="N84" s="115">
        <f>'[8]FY20 Initial Budget Allocat (2)'!N84/'FY20 Initial Budget Allocat FTE'!N$121</f>
        <v>0</v>
      </c>
      <c r="O84" s="115">
        <f>'[8]FY20 Initial Budget Allocat (2)'!O84/'FY20 Initial Budget Allocat FTE'!O$121</f>
        <v>0</v>
      </c>
      <c r="P84" s="115">
        <f>'[8]FY20 Initial Budget Allocat (2)'!P84/'FY20 Initial Budget Allocat FTE'!P$121</f>
        <v>0</v>
      </c>
      <c r="Q84" s="115">
        <f>'[8]FY20 Initial Budget Allocat (2)'!Q84/'FY20 Initial Budget Allocat FTE'!Q$121</f>
        <v>0</v>
      </c>
      <c r="R84" s="115">
        <f>'[8]FY20 Initial Budget Allocat (2)'!R84/'FY20 Initial Budget Allocat FTE'!R$121</f>
        <v>1</v>
      </c>
      <c r="S84" s="115">
        <f>'[8]FY20 Initial Budget Allocat (2)'!S84/'FY20 Initial Budget Allocat FTE'!S$121</f>
        <v>1</v>
      </c>
      <c r="T84" s="115">
        <f>'[8]FY20 Initial Budget Allocat (2)'!T84/'FY20 Initial Budget Allocat FTE'!T$121</f>
        <v>2</v>
      </c>
      <c r="U84" s="115">
        <f>'[8]FY20 Initial Budget Allocat (2)'!U84/'FY20 Initial Budget Allocat FTE'!U$121</f>
        <v>1</v>
      </c>
      <c r="V84" s="115">
        <f>'[8]FY20 Initial Budget Allocat (2)'!V84/'FY20 Initial Budget Allocat FTE'!V$121</f>
        <v>1</v>
      </c>
      <c r="W84" s="115">
        <f>'[8]FY20 Initial Budget Allocat (2)'!W84/'FY20 Initial Budget Allocat FTE'!W$121</f>
        <v>1</v>
      </c>
      <c r="X84" s="115">
        <f>'[8]FY20 Initial Budget Allocat (2)'!X84/'FY20 Initial Budget Allocat FTE'!X$121</f>
        <v>1</v>
      </c>
      <c r="Y84" s="115">
        <f>'[8]FY20 Initial Budget Allocat (2)'!Y84/'FY20 Initial Budget Allocat FTE'!Y$121</f>
        <v>0</v>
      </c>
      <c r="Z84" s="115">
        <f>'[8]FY20 Initial Budget Allocat (2)'!Z84/'FY20 Initial Budget Allocat FTE'!Z$121</f>
        <v>0</v>
      </c>
      <c r="AA84" s="115">
        <f>'[8]FY20 Initial Budget Allocat (2)'!AA84/'FY20 Initial Budget Allocat FTE'!AA$121</f>
        <v>2</v>
      </c>
      <c r="AB84" s="115">
        <f>'[8]FY20 Initial Budget Allocat (2)'!AB84/'FY20 Initial Budget Allocat FTE'!AB$121</f>
        <v>2</v>
      </c>
      <c r="AC84" s="115">
        <f>'[8]FY20 Initial Budget Allocat (2)'!AC84/'FY20 Initial Budget Allocat FTE'!AC$121</f>
        <v>1</v>
      </c>
      <c r="AD84" s="115">
        <f>'[8]FY20 Initial Budget Allocat (2)'!AD84/'FY20 Initial Budget Allocat FTE'!AD$121</f>
        <v>1</v>
      </c>
      <c r="AE84" s="115">
        <f>'[8]FY20 Initial Budget Allocat (2)'!AE84/'FY20 Initial Budget Allocat FTE'!AE$121</f>
        <v>2</v>
      </c>
      <c r="AF84" s="115">
        <f>'[8]FY20 Initial Budget Allocat (2)'!AF84/'FY20 Initial Budget Allocat FTE'!AF$121</f>
        <v>2</v>
      </c>
      <c r="AG84" s="115">
        <f>'[8]FY20 Initial Budget Allocat (2)'!AG84/'FY20 Initial Budget Allocat FTE'!AG$121</f>
        <v>2</v>
      </c>
      <c r="AH84" s="115">
        <f>'[8]FY20 Initial Budget Allocat (2)'!AH84/'FY20 Initial Budget Allocat FTE'!AH$121</f>
        <v>2</v>
      </c>
      <c r="AI84" s="115">
        <f>'[8]FY20 Initial Budget Allocat (2)'!AI84/'FY20 Initial Budget Allocat FTE'!AI$121</f>
        <v>2</v>
      </c>
      <c r="AJ84" s="115">
        <f>'[8]FY20 Initial Budget Allocat (2)'!AJ84/'FY20 Initial Budget Allocat FTE'!AJ$121</f>
        <v>2</v>
      </c>
      <c r="AK84" s="115">
        <f>'[8]FY20 Initial Budget Allocat (2)'!AK84/'FY20 Initial Budget Allocat FTE'!AK$121</f>
        <v>2</v>
      </c>
      <c r="AL84" s="115">
        <f>'[8]FY20 Initial Budget Allocat (2)'!AL84/'FY20 Initial Budget Allocat FTE'!AL$121</f>
        <v>2</v>
      </c>
      <c r="AM84" s="115">
        <f>'[8]FY20 Initial Budget Allocat (2)'!AM84/'FY20 Initial Budget Allocat FTE'!AM$121</f>
        <v>2</v>
      </c>
      <c r="AN84" s="115">
        <f>'[8]FY20 Initial Budget Allocat (2)'!AN84/'FY20 Initial Budget Allocat FTE'!AN$121</f>
        <v>0</v>
      </c>
      <c r="AO84" s="115">
        <f>'[8]FY20 Initial Budget Allocat (2)'!AO84/'FY20 Initial Budget Allocat FTE'!AO$121</f>
        <v>0</v>
      </c>
      <c r="AP84" s="115">
        <f>'[8]FY20 Initial Budget Allocat (2)'!AP84/'FY20 Initial Budget Allocat FTE'!AP$121</f>
        <v>0</v>
      </c>
      <c r="AQ84" s="115">
        <f>'[8]FY20 Initial Budget Allocat (2)'!AQ84/'FY20 Initial Budget Allocat FTE'!AQ$121</f>
        <v>0</v>
      </c>
      <c r="AR84" s="115">
        <f>'[8]FY20 Initial Budget Allocat (2)'!AR84/'FY20 Initial Budget Allocat FTE'!AR$121</f>
        <v>0</v>
      </c>
      <c r="AS84" s="115">
        <f>'[8]FY20 Initial Budget Allocat (2)'!AS84/'FY20 Initial Budget Allocat FTE'!AS$121</f>
        <v>0</v>
      </c>
      <c r="AT84" s="115">
        <f>'[8]FY20 Initial Budget Allocat (2)'!AT84/'FY20 Initial Budget Allocat FTE'!AT$121</f>
        <v>0</v>
      </c>
      <c r="AU84" s="115">
        <f>'[8]FY20 Initial Budget Allocat (2)'!AU84/'FY20 Initial Budget Allocat FTE'!AU$121</f>
        <v>0</v>
      </c>
      <c r="AV84" s="115">
        <f>'[8]FY20 Initial Budget Allocat (2)'!AV84/'FY20 Initial Budget Allocat FTE'!AV$121</f>
        <v>0</v>
      </c>
      <c r="AW84" s="115">
        <f>'[8]FY20 Initial Budget Allocat (2)'!AW84/'FY20 Initial Budget Allocat FTE'!AW$121</f>
        <v>0</v>
      </c>
      <c r="AX84" s="115">
        <f>'[8]FY20 Initial Budget Allocat (2)'!AX84/'FY20 Initial Budget Allocat FTE'!AX$121</f>
        <v>1</v>
      </c>
      <c r="AY84" s="115">
        <f>'[8]FY20 Initial Budget Allocat (2)'!AY84/'FY20 Initial Budget Allocat FTE'!AY$121</f>
        <v>1</v>
      </c>
      <c r="AZ84" s="115">
        <f>'[8]FY20 Initial Budget Allocat (2)'!AZ84/'FY20 Initial Budget Allocat FTE'!AZ$121</f>
        <v>3.0000000000000004</v>
      </c>
      <c r="BA84" s="115">
        <f>'[8]FY20 Initial Budget Allocat (2)'!BA84/'FY20 Initial Budget Allocat FTE'!BA$121</f>
        <v>0</v>
      </c>
      <c r="BB84" s="115">
        <f>'[8]FY20 Initial Budget Allocat (2)'!BB84/'FY20 Initial Budget Allocat FTE'!BB$121</f>
        <v>0</v>
      </c>
      <c r="BC84" s="115">
        <f>'[8]FY20 Initial Budget Allocat (2)'!BC84/'FY20 Initial Budget Allocat FTE'!BC$121</f>
        <v>0</v>
      </c>
      <c r="BD84" s="115">
        <f>'[8]FY20 Initial Budget Allocat (2)'!BD84/'FY20 Initial Budget Allocat FTE'!BD$121</f>
        <v>9.0909090909090912E-2</v>
      </c>
      <c r="BE84" s="115">
        <f>'[8]FY20 Initial Budget Allocat (2)'!BE84/'FY20 Initial Budget Allocat FTE'!BE$121</f>
        <v>0</v>
      </c>
      <c r="BF84" s="115">
        <f>'[8]FY20 Initial Budget Allocat (2)'!BF84/'FY20 Initial Budget Allocat FTE'!BF$121</f>
        <v>0</v>
      </c>
      <c r="BG84" s="115">
        <f>'[8]FY20 Initial Budget Allocat (2)'!BG84/'FY20 Initial Budget Allocat FTE'!BG$121</f>
        <v>2.1251921149348481</v>
      </c>
      <c r="BH84" s="115">
        <f>'[8]FY20 Initial Budget Allocat (2)'!BH84/'FY20 Initial Budget Allocat FTE'!BH$121</f>
        <v>5</v>
      </c>
      <c r="BI84" s="115">
        <f>'[8]FY20 Initial Budget Allocat (2)'!BI84/'FY20 Initial Budget Allocat FTE'!BI$121</f>
        <v>1</v>
      </c>
      <c r="BJ84" s="79"/>
      <c r="BK84" s="79">
        <v>0</v>
      </c>
      <c r="BL84" s="79">
        <v>17208.599999999999</v>
      </c>
      <c r="BM84" s="79">
        <v>154026.07999999999</v>
      </c>
      <c r="BN84" s="79">
        <v>2450.9499999999998</v>
      </c>
      <c r="BO84" s="79">
        <v>0</v>
      </c>
      <c r="BP84" s="115">
        <f>'[8]FY20 Initial Budget Allocat (2)'!BP84/'FY20 Initial Budget Allocat FTE'!BP$121</f>
        <v>0</v>
      </c>
      <c r="BQ84" s="115">
        <f>'[8]FY20 Initial Budget Allocat (2)'!BQ84/'FY20 Initial Budget Allocat FTE'!BQ$121</f>
        <v>0</v>
      </c>
      <c r="BR84" s="115">
        <f>'[8]FY20 Initial Budget Allocat (2)'!BR84/'FY20 Initial Budget Allocat FTE'!BR$121</f>
        <v>0</v>
      </c>
      <c r="BS84" s="115">
        <f>'[8]FY20 Initial Budget Allocat (2)'!BS84/'FY20 Initial Budget Allocat FTE'!BS$121</f>
        <v>0</v>
      </c>
      <c r="BT84" s="115">
        <f>'[8]FY20 Initial Budget Allocat (2)'!BT84/'FY20 Initial Budget Allocat FTE'!BT$121</f>
        <v>0</v>
      </c>
      <c r="BU84" s="115">
        <f>'[8]FY20 Initial Budget Allocat (2)'!BU84/'FY20 Initial Budget Allocat FTE'!BU$121</f>
        <v>0</v>
      </c>
      <c r="BV84" s="115">
        <f>'[8]FY20 Initial Budget Allocat (2)'!BV84/'FY20 Initial Budget Allocat FTE'!BV$121</f>
        <v>0</v>
      </c>
      <c r="BW84" s="80">
        <v>0</v>
      </c>
      <c r="BX84" s="80">
        <v>0</v>
      </c>
      <c r="BY84" s="80">
        <v>0</v>
      </c>
      <c r="BZ84" s="80">
        <v>0</v>
      </c>
      <c r="CA84" s="115">
        <f>'[8]FY20 Initial Budget Allocat (2)'!CA84/'FY20 Initial Budget Allocat FTE'!CA$121</f>
        <v>0</v>
      </c>
      <c r="CB84" s="115">
        <f>'[8]FY20 Initial Budget Allocat (2)'!CB84/'FY20 Initial Budget Allocat FTE'!CB$121</f>
        <v>0</v>
      </c>
      <c r="CC84" s="80">
        <v>0</v>
      </c>
      <c r="CD84" s="115">
        <f>'[8]FY20 Initial Budget Allocat (2)'!CD84/'FY20 Initial Budget Allocat FTE'!CD$121</f>
        <v>0</v>
      </c>
      <c r="CE84" s="115">
        <f>'[8]FY20 Initial Budget Allocat (2)'!CE84/'FY20 Initial Budget Allocat FTE'!CE$121</f>
        <v>0</v>
      </c>
      <c r="CF84" s="115">
        <f>'[8]FY20 Initial Budget Allocat (2)'!CF84/'FY20 Initial Budget Allocat FTE'!CF$121</f>
        <v>0</v>
      </c>
      <c r="CG84" s="115">
        <f>'[8]FY20 Initial Budget Allocat (2)'!CG84/'FY20 Initial Budget Allocat FTE'!CG$121</f>
        <v>0</v>
      </c>
      <c r="CH84" s="115">
        <f>'[8]FY20 Initial Budget Allocat (2)'!CH84/'FY20 Initial Budget Allocat FTE'!CH$121</f>
        <v>0</v>
      </c>
      <c r="CI84" s="115">
        <f>'[8]FY20 Initial Budget Allocat (2)'!CI84/'FY20 Initial Budget Allocat FTE'!CI$121</f>
        <v>0</v>
      </c>
      <c r="CJ84" s="115">
        <f>'[8]FY20 Initial Budget Allocat (2)'!CJ84/'FY20 Initial Budget Allocat FTE'!CJ$121</f>
        <v>0</v>
      </c>
      <c r="CK84" s="79">
        <v>0</v>
      </c>
      <c r="CL84" s="79">
        <v>0</v>
      </c>
      <c r="CM84" s="79">
        <v>57070.8</v>
      </c>
      <c r="CN84" s="79">
        <v>0</v>
      </c>
      <c r="CO84" s="115">
        <f>'[8]FY20 Initial Budget Allocat (2)'!CO84/'FY20 Initial Budget Allocat FTE'!CO$121</f>
        <v>0</v>
      </c>
      <c r="CP84" s="79">
        <v>0</v>
      </c>
      <c r="CQ84" s="79">
        <v>4310.0874635568507</v>
      </c>
      <c r="CR84" s="79">
        <v>0</v>
      </c>
      <c r="CS84" s="79">
        <v>19368.333333333332</v>
      </c>
      <c r="CT84" s="115">
        <f>'[8]FY20 Initial Budget Allocat (2)'!CT84/'FY20 Initial Budget Allocat FTE'!CT$121</f>
        <v>0</v>
      </c>
      <c r="CU84" s="115">
        <f>'[8]FY20 Initial Budget Allocat (2)'!CU84/'FY20 Initial Budget Allocat FTE'!CU$121</f>
        <v>0</v>
      </c>
      <c r="CV84" s="79"/>
      <c r="CW84" s="79">
        <v>0</v>
      </c>
      <c r="CX84" s="115">
        <f>'[8]FY20 Initial Budget Allocat (2)'!CX84/'FY20 Initial Budget Allocat FTE'!CX$121</f>
        <v>0</v>
      </c>
      <c r="CY84" s="79">
        <v>0</v>
      </c>
      <c r="CZ84" s="79">
        <v>0</v>
      </c>
      <c r="DA84" s="79">
        <v>33900</v>
      </c>
      <c r="DB84" s="79">
        <v>61906.694615213884</v>
      </c>
      <c r="DC84" s="82">
        <v>0</v>
      </c>
      <c r="DD84" s="79">
        <v>15363.214285714286</v>
      </c>
      <c r="DE84" s="79"/>
      <c r="DF84" s="79">
        <v>23100</v>
      </c>
      <c r="DG84" s="79">
        <v>0</v>
      </c>
      <c r="DH84" s="83"/>
      <c r="DI84" s="79">
        <v>12629.370121539194</v>
      </c>
      <c r="DJ84" s="79">
        <v>4281356.4712017868</v>
      </c>
      <c r="DK84" s="84">
        <v>-1.201787032186985E-3</v>
      </c>
      <c r="DL84" s="84">
        <v>105628.72</v>
      </c>
      <c r="DM84" s="84">
        <f t="shared" si="6"/>
        <v>4386985.1899999995</v>
      </c>
      <c r="DN84" s="116">
        <f t="shared" si="7"/>
        <v>7</v>
      </c>
      <c r="DO84" s="116">
        <f t="shared" si="8"/>
        <v>7</v>
      </c>
      <c r="DP84" s="116">
        <f t="shared" si="9"/>
        <v>10</v>
      </c>
      <c r="DQ84" s="116">
        <f t="shared" si="10"/>
        <v>5.0909090909090908</v>
      </c>
      <c r="DR84" s="116">
        <f t="shared" si="11"/>
        <v>0</v>
      </c>
    </row>
    <row r="85" spans="1:122" x14ac:dyDescent="0.25">
      <c r="A85" s="76">
        <v>302</v>
      </c>
      <c r="B85" s="76" t="s">
        <v>373</v>
      </c>
      <c r="C85" s="77" t="s">
        <v>150</v>
      </c>
      <c r="D85" s="41">
        <v>4</v>
      </c>
      <c r="E85" s="78">
        <v>495</v>
      </c>
      <c r="F85" s="78">
        <v>299.11128775834658</v>
      </c>
      <c r="G85" s="115">
        <f>'[8]FY20 Initial Budget Allocat (2)'!G85/'FY20 Initial Budget Allocat FTE'!G$121</f>
        <v>1</v>
      </c>
      <c r="H85" s="115">
        <f>'[8]FY20 Initial Budget Allocat (2)'!H85/'FY20 Initial Budget Allocat FTE'!H$121</f>
        <v>1</v>
      </c>
      <c r="I85" s="115">
        <f>'[8]FY20 Initial Budget Allocat (2)'!I85/'FY20 Initial Budget Allocat FTE'!I$121</f>
        <v>1.3</v>
      </c>
      <c r="J85" s="115">
        <f>'[8]FY20 Initial Budget Allocat (2)'!J85/'FY20 Initial Budget Allocat FTE'!J$121</f>
        <v>1</v>
      </c>
      <c r="K85" s="115">
        <f>'[8]FY20 Initial Budget Allocat (2)'!K85/'FY20 Initial Budget Allocat FTE'!K$121</f>
        <v>0</v>
      </c>
      <c r="L85" s="115">
        <f>'[8]FY20 Initial Budget Allocat (2)'!L85/'FY20 Initial Budget Allocat FTE'!L$121</f>
        <v>1</v>
      </c>
      <c r="M85" s="115">
        <f>'[8]FY20 Initial Budget Allocat (2)'!M85/'FY20 Initial Budget Allocat FTE'!M$121</f>
        <v>1</v>
      </c>
      <c r="N85" s="115">
        <f>'[8]FY20 Initial Budget Allocat (2)'!N85/'FY20 Initial Budget Allocat FTE'!N$121</f>
        <v>1.2</v>
      </c>
      <c r="O85" s="115">
        <f>'[8]FY20 Initial Budget Allocat (2)'!O85/'FY20 Initial Budget Allocat FTE'!O$121</f>
        <v>0</v>
      </c>
      <c r="P85" s="115">
        <f>'[8]FY20 Initial Budget Allocat (2)'!P85/'FY20 Initial Budget Allocat FTE'!P$121</f>
        <v>0</v>
      </c>
      <c r="Q85" s="115">
        <f>'[8]FY20 Initial Budget Allocat (2)'!Q85/'FY20 Initial Budget Allocat FTE'!Q$121</f>
        <v>0</v>
      </c>
      <c r="R85" s="115">
        <f>'[8]FY20 Initial Budget Allocat (2)'!R85/'FY20 Initial Budget Allocat FTE'!R$121</f>
        <v>1</v>
      </c>
      <c r="S85" s="115">
        <f>'[8]FY20 Initial Budget Allocat (2)'!S85/'FY20 Initial Budget Allocat FTE'!S$121</f>
        <v>1</v>
      </c>
      <c r="T85" s="115">
        <f>'[8]FY20 Initial Budget Allocat (2)'!T85/'FY20 Initial Budget Allocat FTE'!T$121</f>
        <v>2</v>
      </c>
      <c r="U85" s="115">
        <f>'[8]FY20 Initial Budget Allocat (2)'!U85/'FY20 Initial Budget Allocat FTE'!U$121</f>
        <v>1</v>
      </c>
      <c r="V85" s="115">
        <f>'[8]FY20 Initial Budget Allocat (2)'!V85/'FY20 Initial Budget Allocat FTE'!V$121</f>
        <v>1</v>
      </c>
      <c r="W85" s="115">
        <f>'[8]FY20 Initial Budget Allocat (2)'!W85/'FY20 Initial Budget Allocat FTE'!W$121</f>
        <v>1</v>
      </c>
      <c r="X85" s="115">
        <f>'[8]FY20 Initial Budget Allocat (2)'!X85/'FY20 Initial Budget Allocat FTE'!X$121</f>
        <v>1</v>
      </c>
      <c r="Y85" s="115">
        <f>'[8]FY20 Initial Budget Allocat (2)'!Y85/'FY20 Initial Budget Allocat FTE'!Y$121</f>
        <v>1.5000000000000033</v>
      </c>
      <c r="Z85" s="115">
        <f>'[8]FY20 Initial Budget Allocat (2)'!Z85/'FY20 Initial Budget Allocat FTE'!Z$121</f>
        <v>0.5</v>
      </c>
      <c r="AA85" s="115">
        <f>'[8]FY20 Initial Budget Allocat (2)'!AA85/'FY20 Initial Budget Allocat FTE'!AA$121</f>
        <v>3.0000000000000004</v>
      </c>
      <c r="AB85" s="115">
        <f>'[8]FY20 Initial Budget Allocat (2)'!AB85/'FY20 Initial Budget Allocat FTE'!AB$121</f>
        <v>3</v>
      </c>
      <c r="AC85" s="115">
        <f>'[8]FY20 Initial Budget Allocat (2)'!AC85/'FY20 Initial Budget Allocat FTE'!AC$121</f>
        <v>0</v>
      </c>
      <c r="AD85" s="115">
        <f>'[8]FY20 Initial Budget Allocat (2)'!AD85/'FY20 Initial Budget Allocat FTE'!AD$121</f>
        <v>0</v>
      </c>
      <c r="AE85" s="115">
        <f>'[8]FY20 Initial Budget Allocat (2)'!AE85/'FY20 Initial Budget Allocat FTE'!AE$121</f>
        <v>3.0000000000000004</v>
      </c>
      <c r="AF85" s="115">
        <f>'[8]FY20 Initial Budget Allocat (2)'!AF85/'FY20 Initial Budget Allocat FTE'!AF$121</f>
        <v>3</v>
      </c>
      <c r="AG85" s="115">
        <f>'[8]FY20 Initial Budget Allocat (2)'!AG85/'FY20 Initial Budget Allocat FTE'!AG$121</f>
        <v>3.0000000000000004</v>
      </c>
      <c r="AH85" s="115">
        <f>'[8]FY20 Initial Budget Allocat (2)'!AH85/'FY20 Initial Budget Allocat FTE'!AH$121</f>
        <v>3</v>
      </c>
      <c r="AI85" s="115">
        <f>'[8]FY20 Initial Budget Allocat (2)'!AI85/'FY20 Initial Budget Allocat FTE'!AI$121</f>
        <v>3.0000000000000004</v>
      </c>
      <c r="AJ85" s="115">
        <f>'[8]FY20 Initial Budget Allocat (2)'!AJ85/'FY20 Initial Budget Allocat FTE'!AJ$121</f>
        <v>3.0000000000000004</v>
      </c>
      <c r="AK85" s="115">
        <f>'[8]FY20 Initial Budget Allocat (2)'!AK85/'FY20 Initial Budget Allocat FTE'!AK$121</f>
        <v>3.0000000000000004</v>
      </c>
      <c r="AL85" s="115">
        <f>'[8]FY20 Initial Budget Allocat (2)'!AL85/'FY20 Initial Budget Allocat FTE'!AL$121</f>
        <v>3.0000000000000004</v>
      </c>
      <c r="AM85" s="115">
        <f>'[8]FY20 Initial Budget Allocat (2)'!AM85/'FY20 Initial Budget Allocat FTE'!AM$121</f>
        <v>3.0000000000000004</v>
      </c>
      <c r="AN85" s="115">
        <f>'[8]FY20 Initial Budget Allocat (2)'!AN85/'FY20 Initial Budget Allocat FTE'!AN$121</f>
        <v>0</v>
      </c>
      <c r="AO85" s="115">
        <f>'[8]FY20 Initial Budget Allocat (2)'!AO85/'FY20 Initial Budget Allocat FTE'!AO$121</f>
        <v>0</v>
      </c>
      <c r="AP85" s="115">
        <f>'[8]FY20 Initial Budget Allocat (2)'!AP85/'FY20 Initial Budget Allocat FTE'!AP$121</f>
        <v>2</v>
      </c>
      <c r="AQ85" s="115">
        <f>'[8]FY20 Initial Budget Allocat (2)'!AQ85/'FY20 Initial Budget Allocat FTE'!AQ$121</f>
        <v>0</v>
      </c>
      <c r="AR85" s="115">
        <f>'[8]FY20 Initial Budget Allocat (2)'!AR85/'FY20 Initial Budget Allocat FTE'!AR$121</f>
        <v>0</v>
      </c>
      <c r="AS85" s="115">
        <f>'[8]FY20 Initial Budget Allocat (2)'!AS85/'FY20 Initial Budget Allocat FTE'!AS$121</f>
        <v>0</v>
      </c>
      <c r="AT85" s="115">
        <f>'[8]FY20 Initial Budget Allocat (2)'!AT85/'FY20 Initial Budget Allocat FTE'!AT$121</f>
        <v>0</v>
      </c>
      <c r="AU85" s="115">
        <f>'[8]FY20 Initial Budget Allocat (2)'!AU85/'FY20 Initial Budget Allocat FTE'!AU$121</f>
        <v>0</v>
      </c>
      <c r="AV85" s="115">
        <f>'[8]FY20 Initial Budget Allocat (2)'!AV85/'FY20 Initial Budget Allocat FTE'!AV$121</f>
        <v>0</v>
      </c>
      <c r="AW85" s="115">
        <f>'[8]FY20 Initial Budget Allocat (2)'!AW85/'FY20 Initial Budget Allocat FTE'!AW$121</f>
        <v>0</v>
      </c>
      <c r="AX85" s="115">
        <f>'[8]FY20 Initial Budget Allocat (2)'!AX85/'FY20 Initial Budget Allocat FTE'!AX$121</f>
        <v>1</v>
      </c>
      <c r="AY85" s="115">
        <f>'[8]FY20 Initial Budget Allocat (2)'!AY85/'FY20 Initial Budget Allocat FTE'!AY$121</f>
        <v>1</v>
      </c>
      <c r="AZ85" s="115">
        <f>'[8]FY20 Initial Budget Allocat (2)'!AZ85/'FY20 Initial Budget Allocat FTE'!AZ$121</f>
        <v>6.0000000000000009</v>
      </c>
      <c r="BA85" s="115">
        <f>'[8]FY20 Initial Budget Allocat (2)'!BA85/'FY20 Initial Budget Allocat FTE'!BA$121</f>
        <v>0</v>
      </c>
      <c r="BB85" s="115">
        <f>'[8]FY20 Initial Budget Allocat (2)'!BB85/'FY20 Initial Budget Allocat FTE'!BB$121</f>
        <v>0</v>
      </c>
      <c r="BC85" s="115">
        <f>'[8]FY20 Initial Budget Allocat (2)'!BC85/'FY20 Initial Budget Allocat FTE'!BC$121</f>
        <v>0</v>
      </c>
      <c r="BD85" s="115">
        <f>'[8]FY20 Initial Budget Allocat (2)'!BD85/'FY20 Initial Budget Allocat FTE'!BD$121</f>
        <v>13</v>
      </c>
      <c r="BE85" s="115">
        <f>'[8]FY20 Initial Budget Allocat (2)'!BE85/'FY20 Initial Budget Allocat FTE'!BE$121</f>
        <v>0</v>
      </c>
      <c r="BF85" s="115">
        <f>'[8]FY20 Initial Budget Allocat (2)'!BF85/'FY20 Initial Budget Allocat FTE'!BF$121</f>
        <v>2</v>
      </c>
      <c r="BG85" s="115">
        <f>'[8]FY20 Initial Budget Allocat (2)'!BG85/'FY20 Initial Budget Allocat FTE'!BG$121</f>
        <v>2.0003341129301706</v>
      </c>
      <c r="BH85" s="115">
        <f>'[8]FY20 Initial Budget Allocat (2)'!BH85/'FY20 Initial Budget Allocat FTE'!BH$121</f>
        <v>7</v>
      </c>
      <c r="BI85" s="115">
        <f>'[8]FY20 Initial Budget Allocat (2)'!BI85/'FY20 Initial Budget Allocat FTE'!BI$121</f>
        <v>1</v>
      </c>
      <c r="BJ85" s="79"/>
      <c r="BK85" s="79">
        <v>0</v>
      </c>
      <c r="BL85" s="79">
        <v>29928</v>
      </c>
      <c r="BM85" s="79">
        <v>194788.13</v>
      </c>
      <c r="BN85" s="79">
        <v>3099.58</v>
      </c>
      <c r="BO85" s="79">
        <v>0</v>
      </c>
      <c r="BP85" s="115">
        <f>'[8]FY20 Initial Budget Allocat (2)'!BP85/'FY20 Initial Budget Allocat FTE'!BP$121</f>
        <v>0</v>
      </c>
      <c r="BQ85" s="115">
        <f>'[8]FY20 Initial Budget Allocat (2)'!BQ85/'FY20 Initial Budget Allocat FTE'!BQ$121</f>
        <v>0</v>
      </c>
      <c r="BR85" s="115">
        <f>'[8]FY20 Initial Budget Allocat (2)'!BR85/'FY20 Initial Budget Allocat FTE'!BR$121</f>
        <v>0</v>
      </c>
      <c r="BS85" s="115">
        <f>'[8]FY20 Initial Budget Allocat (2)'!BS85/'FY20 Initial Budget Allocat FTE'!BS$121</f>
        <v>0</v>
      </c>
      <c r="BT85" s="115">
        <f>'[8]FY20 Initial Budget Allocat (2)'!BT85/'FY20 Initial Budget Allocat FTE'!BT$121</f>
        <v>0</v>
      </c>
      <c r="BU85" s="115">
        <f>'[8]FY20 Initial Budget Allocat (2)'!BU85/'FY20 Initial Budget Allocat FTE'!BU$121</f>
        <v>0</v>
      </c>
      <c r="BV85" s="115">
        <f>'[8]FY20 Initial Budget Allocat (2)'!BV85/'FY20 Initial Budget Allocat FTE'!BV$121</f>
        <v>0</v>
      </c>
      <c r="BW85" s="80">
        <v>0</v>
      </c>
      <c r="BX85" s="80">
        <v>0</v>
      </c>
      <c r="BY85" s="80">
        <v>0</v>
      </c>
      <c r="BZ85" s="80">
        <v>0</v>
      </c>
      <c r="CA85" s="115">
        <f>'[8]FY20 Initial Budget Allocat (2)'!CA85/'FY20 Initial Budget Allocat FTE'!CA$121</f>
        <v>0</v>
      </c>
      <c r="CB85" s="115">
        <f>'[8]FY20 Initial Budget Allocat (2)'!CB85/'FY20 Initial Budget Allocat FTE'!CB$121</f>
        <v>0</v>
      </c>
      <c r="CC85" s="80">
        <v>0</v>
      </c>
      <c r="CD85" s="115">
        <f>'[8]FY20 Initial Budget Allocat (2)'!CD85/'FY20 Initial Budget Allocat FTE'!CD$121</f>
        <v>0</v>
      </c>
      <c r="CE85" s="115">
        <f>'[8]FY20 Initial Budget Allocat (2)'!CE85/'FY20 Initial Budget Allocat FTE'!CE$121</f>
        <v>0</v>
      </c>
      <c r="CF85" s="115">
        <f>'[8]FY20 Initial Budget Allocat (2)'!CF85/'FY20 Initial Budget Allocat FTE'!CF$121</f>
        <v>0</v>
      </c>
      <c r="CG85" s="115">
        <f>'[8]FY20 Initial Budget Allocat (2)'!CG85/'FY20 Initial Budget Allocat FTE'!CG$121</f>
        <v>0</v>
      </c>
      <c r="CH85" s="115">
        <f>'[8]FY20 Initial Budget Allocat (2)'!CH85/'FY20 Initial Budget Allocat FTE'!CH$121</f>
        <v>0</v>
      </c>
      <c r="CI85" s="115">
        <f>'[8]FY20 Initial Budget Allocat (2)'!CI85/'FY20 Initial Budget Allocat FTE'!CI$121</f>
        <v>2</v>
      </c>
      <c r="CJ85" s="115">
        <f>'[8]FY20 Initial Budget Allocat (2)'!CJ85/'FY20 Initial Budget Allocat FTE'!CJ$121</f>
        <v>0</v>
      </c>
      <c r="CK85" s="79">
        <v>23000</v>
      </c>
      <c r="CL85" s="79">
        <v>5000</v>
      </c>
      <c r="CM85" s="79">
        <v>114141.6</v>
      </c>
      <c r="CN85" s="79">
        <v>100000</v>
      </c>
      <c r="CO85" s="115">
        <f>'[8]FY20 Initial Budget Allocat (2)'!CO85/'FY20 Initial Budget Allocat FTE'!CO$121</f>
        <v>0</v>
      </c>
      <c r="CP85" s="79">
        <v>0</v>
      </c>
      <c r="CQ85" s="79">
        <v>5982.2257551669318</v>
      </c>
      <c r="CR85" s="79">
        <v>0</v>
      </c>
      <c r="CS85" s="79">
        <v>26670.851219512195</v>
      </c>
      <c r="CT85" s="115">
        <f>'[8]FY20 Initial Budget Allocat (2)'!CT85/'FY20 Initial Budget Allocat FTE'!CT$121</f>
        <v>0</v>
      </c>
      <c r="CU85" s="115">
        <f>'[8]FY20 Initial Budget Allocat (2)'!CU85/'FY20 Initial Budget Allocat FTE'!CU$121</f>
        <v>0</v>
      </c>
      <c r="CV85" s="79"/>
      <c r="CW85" s="79">
        <v>0</v>
      </c>
      <c r="CX85" s="115">
        <f>'[8]FY20 Initial Budget Allocat (2)'!CX85/'FY20 Initial Budget Allocat FTE'!CX$121</f>
        <v>0</v>
      </c>
      <c r="CY85" s="79">
        <v>0</v>
      </c>
      <c r="CZ85" s="79">
        <v>0</v>
      </c>
      <c r="DA85" s="79">
        <v>49500</v>
      </c>
      <c r="DB85" s="79">
        <v>122672.96668757245</v>
      </c>
      <c r="DC85" s="82">
        <v>0</v>
      </c>
      <c r="DD85" s="79">
        <v>0</v>
      </c>
      <c r="DE85" s="79"/>
      <c r="DF85" s="79">
        <v>38700</v>
      </c>
      <c r="DG85" s="79">
        <v>0</v>
      </c>
      <c r="DH85" s="83"/>
      <c r="DI85" s="79">
        <v>16749.321774456956</v>
      </c>
      <c r="DJ85" s="79">
        <v>8290914.2783561936</v>
      </c>
      <c r="DK85" s="84">
        <v>1.6438066959381104E-3</v>
      </c>
      <c r="DL85" s="84">
        <v>362934.92</v>
      </c>
      <c r="DM85" s="84">
        <f t="shared" si="6"/>
        <v>8653849.2000000011</v>
      </c>
      <c r="DN85" s="116">
        <f t="shared" si="7"/>
        <v>9.0000000000000018</v>
      </c>
      <c r="DO85" s="116">
        <f t="shared" si="8"/>
        <v>9</v>
      </c>
      <c r="DP85" s="116">
        <f t="shared" si="9"/>
        <v>17</v>
      </c>
      <c r="DQ85" s="116">
        <f t="shared" si="10"/>
        <v>23</v>
      </c>
      <c r="DR85" s="116">
        <f t="shared" si="11"/>
        <v>0</v>
      </c>
    </row>
    <row r="86" spans="1:122" x14ac:dyDescent="0.25">
      <c r="A86" s="76">
        <v>304</v>
      </c>
      <c r="B86" s="76" t="s">
        <v>225</v>
      </c>
      <c r="C86" s="77" t="s">
        <v>226</v>
      </c>
      <c r="D86" s="41">
        <v>7</v>
      </c>
      <c r="E86" s="78">
        <v>132</v>
      </c>
      <c r="F86" s="78">
        <v>68.615384615384613</v>
      </c>
      <c r="G86" s="115">
        <f>'[8]FY20 Initial Budget Allocat (2)'!G86/'FY20 Initial Budget Allocat FTE'!G$121</f>
        <v>1</v>
      </c>
      <c r="H86" s="115">
        <f>'[8]FY20 Initial Budget Allocat (2)'!H86/'FY20 Initial Budget Allocat FTE'!H$121</f>
        <v>1</v>
      </c>
      <c r="I86" s="115">
        <f>'[8]FY20 Initial Budget Allocat (2)'!I86/'FY20 Initial Budget Allocat FTE'!I$121</f>
        <v>0</v>
      </c>
      <c r="J86" s="115">
        <f>'[8]FY20 Initial Budget Allocat (2)'!J86/'FY20 Initial Budget Allocat FTE'!J$121</f>
        <v>0</v>
      </c>
      <c r="K86" s="115">
        <f>'[8]FY20 Initial Budget Allocat (2)'!K86/'FY20 Initial Budget Allocat FTE'!K$121</f>
        <v>0</v>
      </c>
      <c r="L86" s="115">
        <f>'[8]FY20 Initial Budget Allocat (2)'!L86/'FY20 Initial Budget Allocat FTE'!L$121</f>
        <v>0.5</v>
      </c>
      <c r="M86" s="115">
        <f>'[8]FY20 Initial Budget Allocat (2)'!M86/'FY20 Initial Budget Allocat FTE'!M$121</f>
        <v>1</v>
      </c>
      <c r="N86" s="115">
        <f>'[8]FY20 Initial Budget Allocat (2)'!N86/'FY20 Initial Budget Allocat FTE'!N$121</f>
        <v>0</v>
      </c>
      <c r="O86" s="115">
        <f>'[8]FY20 Initial Budget Allocat (2)'!O86/'FY20 Initial Budget Allocat FTE'!O$121</f>
        <v>0</v>
      </c>
      <c r="P86" s="115">
        <f>'[8]FY20 Initial Budget Allocat (2)'!P86/'FY20 Initial Budget Allocat FTE'!P$121</f>
        <v>0</v>
      </c>
      <c r="Q86" s="115">
        <f>'[8]FY20 Initial Budget Allocat (2)'!Q86/'FY20 Initial Budget Allocat FTE'!Q$121</f>
        <v>0</v>
      </c>
      <c r="R86" s="115">
        <f>'[8]FY20 Initial Budget Allocat (2)'!R86/'FY20 Initial Budget Allocat FTE'!R$121</f>
        <v>1</v>
      </c>
      <c r="S86" s="115">
        <f>'[8]FY20 Initial Budget Allocat (2)'!S86/'FY20 Initial Budget Allocat FTE'!S$121</f>
        <v>1</v>
      </c>
      <c r="T86" s="115">
        <f>'[8]FY20 Initial Budget Allocat (2)'!T86/'FY20 Initial Budget Allocat FTE'!T$121</f>
        <v>1</v>
      </c>
      <c r="U86" s="115">
        <f>'[8]FY20 Initial Budget Allocat (2)'!U86/'FY20 Initial Budget Allocat FTE'!U$121</f>
        <v>0.5</v>
      </c>
      <c r="V86" s="115">
        <f>'[8]FY20 Initial Budget Allocat (2)'!V86/'FY20 Initial Budget Allocat FTE'!V$121</f>
        <v>1</v>
      </c>
      <c r="W86" s="115">
        <f>'[8]FY20 Initial Budget Allocat (2)'!W86/'FY20 Initial Budget Allocat FTE'!W$121</f>
        <v>1</v>
      </c>
      <c r="X86" s="115">
        <f>'[8]FY20 Initial Budget Allocat (2)'!X86/'FY20 Initial Budget Allocat FTE'!X$121</f>
        <v>1</v>
      </c>
      <c r="Y86" s="115">
        <f>'[8]FY20 Initial Budget Allocat (2)'!Y86/'FY20 Initial Budget Allocat FTE'!Y$121</f>
        <v>0</v>
      </c>
      <c r="Z86" s="115">
        <f>'[8]FY20 Initial Budget Allocat (2)'!Z86/'FY20 Initial Budget Allocat FTE'!Z$121</f>
        <v>0</v>
      </c>
      <c r="AA86" s="115">
        <f>'[8]FY20 Initial Budget Allocat (2)'!AA86/'FY20 Initial Budget Allocat FTE'!AA$121</f>
        <v>0</v>
      </c>
      <c r="AB86" s="115">
        <f>'[8]FY20 Initial Budget Allocat (2)'!AB86/'FY20 Initial Budget Allocat FTE'!AB$121</f>
        <v>0</v>
      </c>
      <c r="AC86" s="115">
        <f>'[8]FY20 Initial Budget Allocat (2)'!AC86/'FY20 Initial Budget Allocat FTE'!AC$121</f>
        <v>0</v>
      </c>
      <c r="AD86" s="115">
        <f>'[8]FY20 Initial Budget Allocat (2)'!AD86/'FY20 Initial Budget Allocat FTE'!AD$121</f>
        <v>0</v>
      </c>
      <c r="AE86" s="115">
        <f>'[8]FY20 Initial Budget Allocat (2)'!AE86/'FY20 Initial Budget Allocat FTE'!AE$121</f>
        <v>0</v>
      </c>
      <c r="AF86" s="115">
        <f>'[8]FY20 Initial Budget Allocat (2)'!AF86/'FY20 Initial Budget Allocat FTE'!AF$121</f>
        <v>0</v>
      </c>
      <c r="AG86" s="115">
        <f>'[8]FY20 Initial Budget Allocat (2)'!AG86/'FY20 Initial Budget Allocat FTE'!AG$121</f>
        <v>0</v>
      </c>
      <c r="AH86" s="115">
        <f>'[8]FY20 Initial Budget Allocat (2)'!AH86/'FY20 Initial Budget Allocat FTE'!AH$121</f>
        <v>0</v>
      </c>
      <c r="AI86" s="115">
        <f>'[8]FY20 Initial Budget Allocat (2)'!AI86/'FY20 Initial Budget Allocat FTE'!AI$121</f>
        <v>0</v>
      </c>
      <c r="AJ86" s="115">
        <f>'[8]FY20 Initial Budget Allocat (2)'!AJ86/'FY20 Initial Budget Allocat FTE'!AJ$121</f>
        <v>0</v>
      </c>
      <c r="AK86" s="115">
        <f>'[8]FY20 Initial Budget Allocat (2)'!AK86/'FY20 Initial Budget Allocat FTE'!AK$121</f>
        <v>0</v>
      </c>
      <c r="AL86" s="115">
        <f>'[8]FY20 Initial Budget Allocat (2)'!AL86/'FY20 Initial Budget Allocat FTE'!AL$121</f>
        <v>0</v>
      </c>
      <c r="AM86" s="115">
        <f>'[8]FY20 Initial Budget Allocat (2)'!AM86/'FY20 Initial Budget Allocat FTE'!AM$121</f>
        <v>0</v>
      </c>
      <c r="AN86" s="115">
        <f>'[8]FY20 Initial Budget Allocat (2)'!AN86/'FY20 Initial Budget Allocat FTE'!AN$121</f>
        <v>0</v>
      </c>
      <c r="AO86" s="115">
        <f>'[8]FY20 Initial Budget Allocat (2)'!AO86/'FY20 Initial Budget Allocat FTE'!AO$121</f>
        <v>0</v>
      </c>
      <c r="AP86" s="115">
        <f>'[8]FY20 Initial Budget Allocat (2)'!AP86/'FY20 Initial Budget Allocat FTE'!AP$121</f>
        <v>0</v>
      </c>
      <c r="AQ86" s="115">
        <f>'[8]FY20 Initial Budget Allocat (2)'!AQ86/'FY20 Initial Budget Allocat FTE'!AQ$121</f>
        <v>0</v>
      </c>
      <c r="AR86" s="115">
        <f>'[8]FY20 Initial Budget Allocat (2)'!AR86/'FY20 Initial Budget Allocat FTE'!AR$121</f>
        <v>0</v>
      </c>
      <c r="AS86" s="115">
        <f>'[8]FY20 Initial Budget Allocat (2)'!AS86/'FY20 Initial Budget Allocat FTE'!AS$121</f>
        <v>0</v>
      </c>
      <c r="AT86" s="115">
        <f>'[8]FY20 Initial Budget Allocat (2)'!AT86/'FY20 Initial Budget Allocat FTE'!AT$121</f>
        <v>0</v>
      </c>
      <c r="AU86" s="115">
        <f>'[8]FY20 Initial Budget Allocat (2)'!AU86/'FY20 Initial Budget Allocat FTE'!AU$121</f>
        <v>5.5</v>
      </c>
      <c r="AV86" s="115">
        <f>'[8]FY20 Initial Budget Allocat (2)'!AV86/'FY20 Initial Budget Allocat FTE'!AV$121</f>
        <v>0</v>
      </c>
      <c r="AW86" s="115">
        <f>'[8]FY20 Initial Budget Allocat (2)'!AW86/'FY20 Initial Budget Allocat FTE'!AW$121</f>
        <v>0</v>
      </c>
      <c r="AX86" s="115">
        <f>'[8]FY20 Initial Budget Allocat (2)'!AX86/'FY20 Initial Budget Allocat FTE'!AX$121</f>
        <v>1</v>
      </c>
      <c r="AY86" s="115">
        <f>'[8]FY20 Initial Budget Allocat (2)'!AY86/'FY20 Initial Budget Allocat FTE'!AY$121</f>
        <v>0.5</v>
      </c>
      <c r="AZ86" s="115">
        <f>'[8]FY20 Initial Budget Allocat (2)'!AZ86/'FY20 Initial Budget Allocat FTE'!AZ$121</f>
        <v>21</v>
      </c>
      <c r="BA86" s="115">
        <f>'[8]FY20 Initial Budget Allocat (2)'!BA86/'FY20 Initial Budget Allocat FTE'!BA$121</f>
        <v>23</v>
      </c>
      <c r="BB86" s="115">
        <f>'[8]FY20 Initial Budget Allocat (2)'!BB86/'FY20 Initial Budget Allocat FTE'!BB$121</f>
        <v>1</v>
      </c>
      <c r="BC86" s="115">
        <f>'[8]FY20 Initial Budget Allocat (2)'!BC86/'FY20 Initial Budget Allocat FTE'!BC$121</f>
        <v>0</v>
      </c>
      <c r="BD86" s="115">
        <f>'[8]FY20 Initial Budget Allocat (2)'!BD86/'FY20 Initial Budget Allocat FTE'!BD$121</f>
        <v>1</v>
      </c>
      <c r="BE86" s="115">
        <f>'[8]FY20 Initial Budget Allocat (2)'!BE86/'FY20 Initial Budget Allocat FTE'!BE$121</f>
        <v>0</v>
      </c>
      <c r="BF86" s="115">
        <f>'[8]FY20 Initial Budget Allocat (2)'!BF86/'FY20 Initial Budget Allocat FTE'!BF$121</f>
        <v>0</v>
      </c>
      <c r="BG86" s="115">
        <f>'[8]FY20 Initial Budget Allocat (2)'!BG86/'FY20 Initial Budget Allocat FTE'!BG$121</f>
        <v>0</v>
      </c>
      <c r="BH86" s="115">
        <f>'[8]FY20 Initial Budget Allocat (2)'!BH86/'FY20 Initial Budget Allocat FTE'!BH$121</f>
        <v>0</v>
      </c>
      <c r="BI86" s="115">
        <f>'[8]FY20 Initial Budget Allocat (2)'!BI86/'FY20 Initial Budget Allocat FTE'!BI$121</f>
        <v>1</v>
      </c>
      <c r="BJ86" s="79"/>
      <c r="BK86" s="79">
        <v>0</v>
      </c>
      <c r="BL86" s="79">
        <v>11597.1</v>
      </c>
      <c r="BM86" s="79">
        <v>65128.31</v>
      </c>
      <c r="BN86" s="79">
        <v>1036.3599999999999</v>
      </c>
      <c r="BO86" s="79">
        <v>0</v>
      </c>
      <c r="BP86" s="115">
        <f>'[8]FY20 Initial Budget Allocat (2)'!BP86/'FY20 Initial Budget Allocat FTE'!BP$121</f>
        <v>0</v>
      </c>
      <c r="BQ86" s="115">
        <f>'[8]FY20 Initial Budget Allocat (2)'!BQ86/'FY20 Initial Budget Allocat FTE'!BQ$121</f>
        <v>0</v>
      </c>
      <c r="BR86" s="115">
        <f>'[8]FY20 Initial Budget Allocat (2)'!BR86/'FY20 Initial Budget Allocat FTE'!BR$121</f>
        <v>0</v>
      </c>
      <c r="BS86" s="115">
        <f>'[8]FY20 Initial Budget Allocat (2)'!BS86/'FY20 Initial Budget Allocat FTE'!BS$121</f>
        <v>0</v>
      </c>
      <c r="BT86" s="115">
        <f>'[8]FY20 Initial Budget Allocat (2)'!BT86/'FY20 Initial Budget Allocat FTE'!BT$121</f>
        <v>0</v>
      </c>
      <c r="BU86" s="115">
        <f>'[8]FY20 Initial Budget Allocat (2)'!BU86/'FY20 Initial Budget Allocat FTE'!BU$121</f>
        <v>0</v>
      </c>
      <c r="BV86" s="115">
        <f>'[8]FY20 Initial Budget Allocat (2)'!BV86/'FY20 Initial Budget Allocat FTE'!BV$121</f>
        <v>0</v>
      </c>
      <c r="BW86" s="80">
        <v>0</v>
      </c>
      <c r="BX86" s="80">
        <v>0</v>
      </c>
      <c r="BY86" s="80">
        <v>0</v>
      </c>
      <c r="BZ86" s="80">
        <v>0</v>
      </c>
      <c r="CA86" s="115">
        <f>'[8]FY20 Initial Budget Allocat (2)'!CA86/'FY20 Initial Budget Allocat FTE'!CA$121</f>
        <v>0</v>
      </c>
      <c r="CB86" s="115">
        <f>'[8]FY20 Initial Budget Allocat (2)'!CB86/'FY20 Initial Budget Allocat FTE'!CB$121</f>
        <v>0</v>
      </c>
      <c r="CC86" s="80">
        <v>0</v>
      </c>
      <c r="CD86" s="115">
        <f>'[8]FY20 Initial Budget Allocat (2)'!CD86/'FY20 Initial Budget Allocat FTE'!CD$121</f>
        <v>0</v>
      </c>
      <c r="CE86" s="115">
        <f>'[8]FY20 Initial Budget Allocat (2)'!CE86/'FY20 Initial Budget Allocat FTE'!CE$121</f>
        <v>0</v>
      </c>
      <c r="CF86" s="115">
        <f>'[8]FY20 Initial Budget Allocat (2)'!CF86/'FY20 Initial Budget Allocat FTE'!CF$121</f>
        <v>0</v>
      </c>
      <c r="CG86" s="115">
        <f>'[8]FY20 Initial Budget Allocat (2)'!CG86/'FY20 Initial Budget Allocat FTE'!CG$121</f>
        <v>0</v>
      </c>
      <c r="CH86" s="115">
        <f>'[8]FY20 Initial Budget Allocat (2)'!CH86/'FY20 Initial Budget Allocat FTE'!CH$121</f>
        <v>0</v>
      </c>
      <c r="CI86" s="115">
        <f>'[8]FY20 Initial Budget Allocat (2)'!CI86/'FY20 Initial Budget Allocat FTE'!CI$121</f>
        <v>2</v>
      </c>
      <c r="CJ86" s="115">
        <f>'[8]FY20 Initial Budget Allocat (2)'!CJ86/'FY20 Initial Budget Allocat FTE'!CJ$121</f>
        <v>0</v>
      </c>
      <c r="CK86" s="79">
        <v>23000</v>
      </c>
      <c r="CL86" s="79">
        <v>5000</v>
      </c>
      <c r="CM86" s="79">
        <v>108165.6</v>
      </c>
      <c r="CN86" s="79">
        <v>100000</v>
      </c>
      <c r="CO86" s="115">
        <f>'[8]FY20 Initial Budget Allocat (2)'!CO86/'FY20 Initial Budget Allocat FTE'!CO$121</f>
        <v>0</v>
      </c>
      <c r="CP86" s="79">
        <v>0</v>
      </c>
      <c r="CQ86" s="79">
        <v>1372.3076923076924</v>
      </c>
      <c r="CR86" s="79">
        <v>0</v>
      </c>
      <c r="CS86" s="79">
        <v>12794.02</v>
      </c>
      <c r="CT86" s="115">
        <f>'[8]FY20 Initial Budget Allocat (2)'!CT86/'FY20 Initial Budget Allocat FTE'!CT$121</f>
        <v>0</v>
      </c>
      <c r="CU86" s="115">
        <f>'[8]FY20 Initial Budget Allocat (2)'!CU86/'FY20 Initial Budget Allocat FTE'!CU$121</f>
        <v>0</v>
      </c>
      <c r="CV86" s="79"/>
      <c r="CW86" s="79">
        <v>0</v>
      </c>
      <c r="CX86" s="115">
        <f>'[8]FY20 Initial Budget Allocat (2)'!CX86/'FY20 Initial Budget Allocat FTE'!CX$121</f>
        <v>0</v>
      </c>
      <c r="CY86" s="79">
        <v>0</v>
      </c>
      <c r="CZ86" s="79">
        <v>0</v>
      </c>
      <c r="DA86" s="79">
        <v>13200</v>
      </c>
      <c r="DB86" s="79">
        <v>84671.994692520049</v>
      </c>
      <c r="DC86" s="82">
        <v>0</v>
      </c>
      <c r="DD86" s="79">
        <v>0</v>
      </c>
      <c r="DE86" s="79"/>
      <c r="DF86" s="79">
        <v>12250</v>
      </c>
      <c r="DG86" s="79">
        <v>0</v>
      </c>
      <c r="DH86" s="83">
        <v>0</v>
      </c>
      <c r="DI86" s="79">
        <v>42455.156799320437</v>
      </c>
      <c r="DJ86" s="79">
        <v>5604080.6975102955</v>
      </c>
      <c r="DK86" s="84">
        <v>22822.302489704452</v>
      </c>
      <c r="DL86" s="84">
        <v>0</v>
      </c>
      <c r="DM86" s="84">
        <f t="shared" si="6"/>
        <v>5626903</v>
      </c>
      <c r="DN86" s="116">
        <f t="shared" si="7"/>
        <v>0</v>
      </c>
      <c r="DO86" s="116">
        <f t="shared" si="8"/>
        <v>0</v>
      </c>
      <c r="DP86" s="116">
        <f t="shared" si="9"/>
        <v>5.5</v>
      </c>
      <c r="DQ86" s="116">
        <f t="shared" si="10"/>
        <v>23.5</v>
      </c>
      <c r="DR86" s="116">
        <f t="shared" si="11"/>
        <v>23</v>
      </c>
    </row>
    <row r="87" spans="1:122" ht="31.5" x14ac:dyDescent="0.25">
      <c r="A87" s="76">
        <v>436</v>
      </c>
      <c r="B87" s="76" t="s">
        <v>227</v>
      </c>
      <c r="C87" s="77" t="s">
        <v>138</v>
      </c>
      <c r="D87" s="41">
        <v>7</v>
      </c>
      <c r="E87" s="78">
        <v>322</v>
      </c>
      <c r="F87" s="78">
        <v>295.26363636363635</v>
      </c>
      <c r="G87" s="115">
        <f>'[8]FY20 Initial Budget Allocat (2)'!G87/'FY20 Initial Budget Allocat FTE'!G$121</f>
        <v>1</v>
      </c>
      <c r="H87" s="115">
        <f>'[8]FY20 Initial Budget Allocat (2)'!H87/'FY20 Initial Budget Allocat FTE'!H$121</f>
        <v>1</v>
      </c>
      <c r="I87" s="115">
        <f>'[8]FY20 Initial Budget Allocat (2)'!I87/'FY20 Initial Budget Allocat FTE'!I$121</f>
        <v>1.1000000000000001</v>
      </c>
      <c r="J87" s="115">
        <f>'[8]FY20 Initial Budget Allocat (2)'!J87/'FY20 Initial Budget Allocat FTE'!J$121</f>
        <v>0</v>
      </c>
      <c r="K87" s="115">
        <f>'[8]FY20 Initial Budget Allocat (2)'!K87/'FY20 Initial Budget Allocat FTE'!K$121</f>
        <v>1.4999948601613144</v>
      </c>
      <c r="L87" s="115">
        <f>'[8]FY20 Initial Budget Allocat (2)'!L87/'FY20 Initial Budget Allocat FTE'!L$121</f>
        <v>1</v>
      </c>
      <c r="M87" s="115">
        <f>'[8]FY20 Initial Budget Allocat (2)'!M87/'FY20 Initial Budget Allocat FTE'!M$121</f>
        <v>1</v>
      </c>
      <c r="N87" s="115">
        <f>'[8]FY20 Initial Budget Allocat (2)'!N87/'FY20 Initial Budget Allocat FTE'!N$121</f>
        <v>0</v>
      </c>
      <c r="O87" s="115">
        <f>'[8]FY20 Initial Budget Allocat (2)'!O87/'FY20 Initial Budget Allocat FTE'!O$121</f>
        <v>1</v>
      </c>
      <c r="P87" s="115">
        <f>'[8]FY20 Initial Budget Allocat (2)'!P87/'FY20 Initial Budget Allocat FTE'!P$121</f>
        <v>1</v>
      </c>
      <c r="Q87" s="115">
        <f>'[8]FY20 Initial Budget Allocat (2)'!Q87/'FY20 Initial Budget Allocat FTE'!Q$121</f>
        <v>0</v>
      </c>
      <c r="R87" s="115">
        <f>'[8]FY20 Initial Budget Allocat (2)'!R87/'FY20 Initial Budget Allocat FTE'!R$121</f>
        <v>1</v>
      </c>
      <c r="S87" s="115">
        <f>'[8]FY20 Initial Budget Allocat (2)'!S87/'FY20 Initial Budget Allocat FTE'!S$121</f>
        <v>1</v>
      </c>
      <c r="T87" s="115">
        <f>'[8]FY20 Initial Budget Allocat (2)'!T87/'FY20 Initial Budget Allocat FTE'!T$121</f>
        <v>4</v>
      </c>
      <c r="U87" s="115">
        <f>'[8]FY20 Initial Budget Allocat (2)'!U87/'FY20 Initial Budget Allocat FTE'!U$121</f>
        <v>1</v>
      </c>
      <c r="V87" s="115">
        <f>'[8]FY20 Initial Budget Allocat (2)'!V87/'FY20 Initial Budget Allocat FTE'!V$121</f>
        <v>0</v>
      </c>
      <c r="W87" s="115">
        <f>'[8]FY20 Initial Budget Allocat (2)'!W87/'FY20 Initial Budget Allocat FTE'!W$121</f>
        <v>0</v>
      </c>
      <c r="X87" s="115">
        <f>'[8]FY20 Initial Budget Allocat (2)'!X87/'FY20 Initial Budget Allocat FTE'!X$121</f>
        <v>0</v>
      </c>
      <c r="Y87" s="115">
        <f>'[8]FY20 Initial Budget Allocat (2)'!Y87/'FY20 Initial Budget Allocat FTE'!Y$121</f>
        <v>0</v>
      </c>
      <c r="Z87" s="115">
        <f>'[8]FY20 Initial Budget Allocat (2)'!Z87/'FY20 Initial Budget Allocat FTE'!Z$121</f>
        <v>0</v>
      </c>
      <c r="AA87" s="115">
        <f>'[8]FY20 Initial Budget Allocat (2)'!AA87/'FY20 Initial Budget Allocat FTE'!AA$121</f>
        <v>0</v>
      </c>
      <c r="AB87" s="115">
        <f>'[8]FY20 Initial Budget Allocat (2)'!AB87/'FY20 Initial Budget Allocat FTE'!AB$121</f>
        <v>0</v>
      </c>
      <c r="AC87" s="115">
        <f>'[8]FY20 Initial Budget Allocat (2)'!AC87/'FY20 Initial Budget Allocat FTE'!AC$121</f>
        <v>0</v>
      </c>
      <c r="AD87" s="115">
        <f>'[8]FY20 Initial Budget Allocat (2)'!AD87/'FY20 Initial Budget Allocat FTE'!AD$121</f>
        <v>0</v>
      </c>
      <c r="AE87" s="115">
        <f>'[8]FY20 Initial Budget Allocat (2)'!AE87/'FY20 Initial Budget Allocat FTE'!AE$121</f>
        <v>0</v>
      </c>
      <c r="AF87" s="115">
        <f>'[8]FY20 Initial Budget Allocat (2)'!AF87/'FY20 Initial Budget Allocat FTE'!AF$121</f>
        <v>0</v>
      </c>
      <c r="AG87" s="115">
        <f>'[8]FY20 Initial Budget Allocat (2)'!AG87/'FY20 Initial Budget Allocat FTE'!AG$121</f>
        <v>0</v>
      </c>
      <c r="AH87" s="115">
        <f>'[8]FY20 Initial Budget Allocat (2)'!AH87/'FY20 Initial Budget Allocat FTE'!AH$121</f>
        <v>0</v>
      </c>
      <c r="AI87" s="115">
        <f>'[8]FY20 Initial Budget Allocat (2)'!AI87/'FY20 Initial Budget Allocat FTE'!AI$121</f>
        <v>0</v>
      </c>
      <c r="AJ87" s="115">
        <f>'[8]FY20 Initial Budget Allocat (2)'!AJ87/'FY20 Initial Budget Allocat FTE'!AJ$121</f>
        <v>0</v>
      </c>
      <c r="AK87" s="115">
        <f>'[8]FY20 Initial Budget Allocat (2)'!AK87/'FY20 Initial Budget Allocat FTE'!AK$121</f>
        <v>0</v>
      </c>
      <c r="AL87" s="115">
        <f>'[8]FY20 Initial Budget Allocat (2)'!AL87/'FY20 Initial Budget Allocat FTE'!AL$121</f>
        <v>0</v>
      </c>
      <c r="AM87" s="115">
        <f>'[8]FY20 Initial Budget Allocat (2)'!AM87/'FY20 Initial Budget Allocat FTE'!AM$121</f>
        <v>0</v>
      </c>
      <c r="AN87" s="115">
        <f>'[8]FY20 Initial Budget Allocat (2)'!AN87/'FY20 Initial Budget Allocat FTE'!AN$121</f>
        <v>0</v>
      </c>
      <c r="AO87" s="115">
        <f>'[8]FY20 Initial Budget Allocat (2)'!AO87/'FY20 Initial Budget Allocat FTE'!AO$121</f>
        <v>0</v>
      </c>
      <c r="AP87" s="115">
        <f>'[8]FY20 Initial Budget Allocat (2)'!AP87/'FY20 Initial Budget Allocat FTE'!AP$121</f>
        <v>0</v>
      </c>
      <c r="AQ87" s="115">
        <f>'[8]FY20 Initial Budget Allocat (2)'!AQ87/'FY20 Initial Budget Allocat FTE'!AQ$121</f>
        <v>0</v>
      </c>
      <c r="AR87" s="115">
        <f>'[8]FY20 Initial Budget Allocat (2)'!AR87/'FY20 Initial Budget Allocat FTE'!AR$121</f>
        <v>0</v>
      </c>
      <c r="AS87" s="115">
        <f>'[8]FY20 Initial Budget Allocat (2)'!AS87/'FY20 Initial Budget Allocat FTE'!AS$121</f>
        <v>0</v>
      </c>
      <c r="AT87" s="115">
        <f>'[8]FY20 Initial Budget Allocat (2)'!AT87/'FY20 Initial Budget Allocat FTE'!AT$121</f>
        <v>0</v>
      </c>
      <c r="AU87" s="115">
        <f>'[8]FY20 Initial Budget Allocat (2)'!AU87/'FY20 Initial Budget Allocat FTE'!AU$121</f>
        <v>0</v>
      </c>
      <c r="AV87" s="115">
        <f>'[8]FY20 Initial Budget Allocat (2)'!AV87/'FY20 Initial Budget Allocat FTE'!AV$121</f>
        <v>13.416666666666666</v>
      </c>
      <c r="AW87" s="115">
        <f>'[8]FY20 Initial Budget Allocat (2)'!AW87/'FY20 Initial Budget Allocat FTE'!AW$121</f>
        <v>7.6727620179927767</v>
      </c>
      <c r="AX87" s="115">
        <f>'[8]FY20 Initial Budget Allocat (2)'!AX87/'FY20 Initial Budget Allocat FTE'!AX$121</f>
        <v>1.5000000000000002</v>
      </c>
      <c r="AY87" s="115">
        <f>'[8]FY20 Initial Budget Allocat (2)'!AY87/'FY20 Initial Budget Allocat FTE'!AY$121</f>
        <v>2</v>
      </c>
      <c r="AZ87" s="115">
        <f>'[8]FY20 Initial Budget Allocat (2)'!AZ87/'FY20 Initial Budget Allocat FTE'!AZ$121</f>
        <v>9</v>
      </c>
      <c r="BA87" s="115">
        <f>'[8]FY20 Initial Budget Allocat (2)'!BA87/'FY20 Initial Budget Allocat FTE'!BA$121</f>
        <v>0</v>
      </c>
      <c r="BB87" s="115">
        <f>'[8]FY20 Initial Budget Allocat (2)'!BB87/'FY20 Initial Budget Allocat FTE'!BB$121</f>
        <v>0</v>
      </c>
      <c r="BC87" s="115">
        <f>'[8]FY20 Initial Budget Allocat (2)'!BC87/'FY20 Initial Budget Allocat FTE'!BC$121</f>
        <v>0</v>
      </c>
      <c r="BD87" s="115">
        <f>'[8]FY20 Initial Budget Allocat (2)'!BD87/'FY20 Initial Budget Allocat FTE'!BD$121</f>
        <v>1</v>
      </c>
      <c r="BE87" s="115">
        <f>'[8]FY20 Initial Budget Allocat (2)'!BE87/'FY20 Initial Budget Allocat FTE'!BE$121</f>
        <v>0</v>
      </c>
      <c r="BF87" s="115">
        <f>'[8]FY20 Initial Budget Allocat (2)'!BF87/'FY20 Initial Budget Allocat FTE'!BF$121</f>
        <v>0</v>
      </c>
      <c r="BG87" s="115">
        <f>'[8]FY20 Initial Budget Allocat (2)'!BG87/'FY20 Initial Budget Allocat FTE'!BG$121</f>
        <v>0</v>
      </c>
      <c r="BH87" s="115">
        <f>'[8]FY20 Initial Budget Allocat (2)'!BH87/'FY20 Initial Budget Allocat FTE'!BH$121</f>
        <v>0</v>
      </c>
      <c r="BI87" s="115">
        <f>'[8]FY20 Initial Budget Allocat (2)'!BI87/'FY20 Initial Budget Allocat FTE'!BI$121</f>
        <v>0</v>
      </c>
      <c r="BJ87" s="79"/>
      <c r="BK87" s="79">
        <v>50000</v>
      </c>
      <c r="BL87" s="79"/>
      <c r="BM87" s="79">
        <v>99356.33</v>
      </c>
      <c r="BN87" s="79">
        <v>1581.02</v>
      </c>
      <c r="BO87" s="79">
        <v>0</v>
      </c>
      <c r="BP87" s="115">
        <f>'[8]FY20 Initial Budget Allocat (2)'!BP87/'FY20 Initial Budget Allocat FTE'!BP$121</f>
        <v>0</v>
      </c>
      <c r="BQ87" s="115">
        <f>'[8]FY20 Initial Budget Allocat (2)'!BQ87/'FY20 Initial Budget Allocat FTE'!BQ$121</f>
        <v>0</v>
      </c>
      <c r="BR87" s="115">
        <f>'[8]FY20 Initial Budget Allocat (2)'!BR87/'FY20 Initial Budget Allocat FTE'!BR$121</f>
        <v>0</v>
      </c>
      <c r="BS87" s="115">
        <f>'[8]FY20 Initial Budget Allocat (2)'!BS87/'FY20 Initial Budget Allocat FTE'!BS$121</f>
        <v>1</v>
      </c>
      <c r="BT87" s="115">
        <f>'[8]FY20 Initial Budget Allocat (2)'!BT87/'FY20 Initial Budget Allocat FTE'!BT$121</f>
        <v>0</v>
      </c>
      <c r="BU87" s="115">
        <f>'[8]FY20 Initial Budget Allocat (2)'!BU87/'FY20 Initial Budget Allocat FTE'!BU$121</f>
        <v>0</v>
      </c>
      <c r="BV87" s="115">
        <f>'[8]FY20 Initial Budget Allocat (2)'!BV87/'FY20 Initial Budget Allocat FTE'!BV$121</f>
        <v>1</v>
      </c>
      <c r="BW87" s="80">
        <v>28720</v>
      </c>
      <c r="BX87" s="80">
        <v>20280</v>
      </c>
      <c r="BY87" s="80">
        <v>0</v>
      </c>
      <c r="BZ87" s="80">
        <v>0</v>
      </c>
      <c r="CA87" s="115">
        <f>'[8]FY20 Initial Budget Allocat (2)'!CA87/'FY20 Initial Budget Allocat FTE'!CA$121</f>
        <v>0</v>
      </c>
      <c r="CB87" s="115">
        <f>'[8]FY20 Initial Budget Allocat (2)'!CB87/'FY20 Initial Budget Allocat FTE'!CB$121</f>
        <v>0</v>
      </c>
      <c r="CC87" s="80">
        <v>23700</v>
      </c>
      <c r="CD87" s="115">
        <f>'[8]FY20 Initial Budget Allocat (2)'!CD87/'FY20 Initial Budget Allocat FTE'!CD$121</f>
        <v>2</v>
      </c>
      <c r="CE87" s="115">
        <f>'[8]FY20 Initial Budget Allocat (2)'!CE87/'FY20 Initial Budget Allocat FTE'!CE$121</f>
        <v>0</v>
      </c>
      <c r="CF87" s="115">
        <f>'[8]FY20 Initial Budget Allocat (2)'!CF87/'FY20 Initial Budget Allocat FTE'!CF$121</f>
        <v>0</v>
      </c>
      <c r="CG87" s="115">
        <f>'[8]FY20 Initial Budget Allocat (2)'!CG87/'FY20 Initial Budget Allocat FTE'!CG$121</f>
        <v>0</v>
      </c>
      <c r="CH87" s="115">
        <f>'[8]FY20 Initial Budget Allocat (2)'!CH87/'FY20 Initial Budget Allocat FTE'!CH$121</f>
        <v>0</v>
      </c>
      <c r="CI87" s="115">
        <f>'[8]FY20 Initial Budget Allocat (2)'!CI87/'FY20 Initial Budget Allocat FTE'!CI$121</f>
        <v>0</v>
      </c>
      <c r="CJ87" s="115">
        <f>'[8]FY20 Initial Budget Allocat (2)'!CJ87/'FY20 Initial Budget Allocat FTE'!CJ$121</f>
        <v>0</v>
      </c>
      <c r="CK87" s="79">
        <v>0</v>
      </c>
      <c r="CL87" s="79">
        <v>0</v>
      </c>
      <c r="CM87" s="79">
        <v>362651.6</v>
      </c>
      <c r="CN87" s="79">
        <v>0</v>
      </c>
      <c r="CO87" s="115">
        <f>'[8]FY20 Initial Budget Allocat (2)'!CO87/'FY20 Initial Budget Allocat FTE'!CO$121</f>
        <v>1</v>
      </c>
      <c r="CP87" s="79">
        <v>0</v>
      </c>
      <c r="CQ87" s="79">
        <v>11810.545454545454</v>
      </c>
      <c r="CR87" s="79">
        <v>0</v>
      </c>
      <c r="CS87" s="79">
        <v>62364.100000000006</v>
      </c>
      <c r="CT87" s="115">
        <f>'[8]FY20 Initial Budget Allocat (2)'!CT87/'FY20 Initial Budget Allocat FTE'!CT$121</f>
        <v>0</v>
      </c>
      <c r="CU87" s="115">
        <f>'[8]FY20 Initial Budget Allocat (2)'!CU87/'FY20 Initial Budget Allocat FTE'!CU$121</f>
        <v>1</v>
      </c>
      <c r="CV87" s="79"/>
      <c r="CW87" s="79">
        <v>0</v>
      </c>
      <c r="CX87" s="115">
        <f>'[8]FY20 Initial Budget Allocat (2)'!CX87/'FY20 Initial Budget Allocat FTE'!CX$121</f>
        <v>0</v>
      </c>
      <c r="CY87" s="79">
        <v>0</v>
      </c>
      <c r="CZ87" s="79">
        <v>0</v>
      </c>
      <c r="DA87" s="79">
        <v>32200</v>
      </c>
      <c r="DB87" s="79">
        <v>86800.506943871456</v>
      </c>
      <c r="DC87" s="82">
        <v>0</v>
      </c>
      <c r="DD87" s="79">
        <v>0</v>
      </c>
      <c r="DE87" s="79"/>
      <c r="DF87" s="79">
        <v>20700</v>
      </c>
      <c r="DG87" s="79">
        <v>0</v>
      </c>
      <c r="DH87" s="83">
        <v>0</v>
      </c>
      <c r="DI87" s="79">
        <v>20341.99909929834</v>
      </c>
      <c r="DJ87" s="79">
        <v>6550123.7099740664</v>
      </c>
      <c r="DK87" s="84">
        <v>140395.29002593365</v>
      </c>
      <c r="DL87" s="84">
        <v>0</v>
      </c>
      <c r="DM87" s="84">
        <f t="shared" si="6"/>
        <v>6690519</v>
      </c>
      <c r="DN87" s="116">
        <f t="shared" si="7"/>
        <v>0</v>
      </c>
      <c r="DO87" s="116">
        <f t="shared" si="8"/>
        <v>0</v>
      </c>
      <c r="DP87" s="116">
        <f t="shared" si="9"/>
        <v>21.089428684659442</v>
      </c>
      <c r="DQ87" s="116">
        <f t="shared" si="10"/>
        <v>13.5</v>
      </c>
      <c r="DR87" s="116">
        <f t="shared" si="11"/>
        <v>0</v>
      </c>
    </row>
    <row r="88" spans="1:122" x14ac:dyDescent="0.25">
      <c r="A88" s="76">
        <v>459</v>
      </c>
      <c r="B88" s="76" t="s">
        <v>228</v>
      </c>
      <c r="C88" s="77" t="s">
        <v>138</v>
      </c>
      <c r="D88" s="41">
        <v>4</v>
      </c>
      <c r="E88" s="78">
        <v>681</v>
      </c>
      <c r="F88" s="78">
        <v>588.14222873900303</v>
      </c>
      <c r="G88" s="115">
        <f>'[8]FY20 Initial Budget Allocat (2)'!G88/'FY20 Initial Budget Allocat FTE'!G$121</f>
        <v>1</v>
      </c>
      <c r="H88" s="115">
        <f>'[8]FY20 Initial Budget Allocat (2)'!H88/'FY20 Initial Budget Allocat FTE'!H$121</f>
        <v>1</v>
      </c>
      <c r="I88" s="115">
        <f>'[8]FY20 Initial Budget Allocat (2)'!I88/'FY20 Initial Budget Allocat FTE'!I$121</f>
        <v>2.2999999999999998</v>
      </c>
      <c r="J88" s="115">
        <f>'[8]FY20 Initial Budget Allocat (2)'!J88/'FY20 Initial Budget Allocat FTE'!J$121</f>
        <v>0</v>
      </c>
      <c r="K88" s="115">
        <f>'[8]FY20 Initial Budget Allocat (2)'!K88/'FY20 Initial Budget Allocat FTE'!K$121</f>
        <v>2.9999897203226289</v>
      </c>
      <c r="L88" s="115">
        <f>'[8]FY20 Initial Budget Allocat (2)'!L88/'FY20 Initial Budget Allocat FTE'!L$121</f>
        <v>1</v>
      </c>
      <c r="M88" s="115">
        <f>'[8]FY20 Initial Budget Allocat (2)'!M88/'FY20 Initial Budget Allocat FTE'!M$121</f>
        <v>1</v>
      </c>
      <c r="N88" s="115">
        <f>'[8]FY20 Initial Budget Allocat (2)'!N88/'FY20 Initial Budget Allocat FTE'!N$121</f>
        <v>1.7</v>
      </c>
      <c r="O88" s="115">
        <f>'[8]FY20 Initial Budget Allocat (2)'!O88/'FY20 Initial Budget Allocat FTE'!O$121</f>
        <v>1</v>
      </c>
      <c r="P88" s="115">
        <f>'[8]FY20 Initial Budget Allocat (2)'!P88/'FY20 Initial Budget Allocat FTE'!P$121</f>
        <v>1</v>
      </c>
      <c r="Q88" s="115">
        <f>'[8]FY20 Initial Budget Allocat (2)'!Q88/'FY20 Initial Budget Allocat FTE'!Q$121</f>
        <v>0</v>
      </c>
      <c r="R88" s="115">
        <f>'[8]FY20 Initial Budget Allocat (2)'!R88/'FY20 Initial Budget Allocat FTE'!R$121</f>
        <v>1</v>
      </c>
      <c r="S88" s="115">
        <f>'[8]FY20 Initial Budget Allocat (2)'!S88/'FY20 Initial Budget Allocat FTE'!S$121</f>
        <v>1</v>
      </c>
      <c r="T88" s="115">
        <f>'[8]FY20 Initial Budget Allocat (2)'!T88/'FY20 Initial Budget Allocat FTE'!T$121</f>
        <v>8</v>
      </c>
      <c r="U88" s="115">
        <f>'[8]FY20 Initial Budget Allocat (2)'!U88/'FY20 Initial Budget Allocat FTE'!U$121</f>
        <v>1</v>
      </c>
      <c r="V88" s="115">
        <f>'[8]FY20 Initial Budget Allocat (2)'!V88/'FY20 Initial Budget Allocat FTE'!V$121</f>
        <v>0</v>
      </c>
      <c r="W88" s="115">
        <f>'[8]FY20 Initial Budget Allocat (2)'!W88/'FY20 Initial Budget Allocat FTE'!W$121</f>
        <v>0</v>
      </c>
      <c r="X88" s="115">
        <f>'[8]FY20 Initial Budget Allocat (2)'!X88/'FY20 Initial Budget Allocat FTE'!X$121</f>
        <v>0</v>
      </c>
      <c r="Y88" s="115">
        <f>'[8]FY20 Initial Budget Allocat (2)'!Y88/'FY20 Initial Budget Allocat FTE'!Y$121</f>
        <v>0</v>
      </c>
      <c r="Z88" s="115">
        <f>'[8]FY20 Initial Budget Allocat (2)'!Z88/'FY20 Initial Budget Allocat FTE'!Z$121</f>
        <v>0</v>
      </c>
      <c r="AA88" s="115">
        <f>'[8]FY20 Initial Budget Allocat (2)'!AA88/'FY20 Initial Budget Allocat FTE'!AA$121</f>
        <v>0</v>
      </c>
      <c r="AB88" s="115">
        <f>'[8]FY20 Initial Budget Allocat (2)'!AB88/'FY20 Initial Budget Allocat FTE'!AB$121</f>
        <v>0</v>
      </c>
      <c r="AC88" s="115">
        <f>'[8]FY20 Initial Budget Allocat (2)'!AC88/'FY20 Initial Budget Allocat FTE'!AC$121</f>
        <v>0</v>
      </c>
      <c r="AD88" s="115">
        <f>'[8]FY20 Initial Budget Allocat (2)'!AD88/'FY20 Initial Budget Allocat FTE'!AD$121</f>
        <v>0</v>
      </c>
      <c r="AE88" s="115">
        <f>'[8]FY20 Initial Budget Allocat (2)'!AE88/'FY20 Initial Budget Allocat FTE'!AE$121</f>
        <v>0</v>
      </c>
      <c r="AF88" s="115">
        <f>'[8]FY20 Initial Budget Allocat (2)'!AF88/'FY20 Initial Budget Allocat FTE'!AF$121</f>
        <v>0</v>
      </c>
      <c r="AG88" s="115">
        <f>'[8]FY20 Initial Budget Allocat (2)'!AG88/'FY20 Initial Budget Allocat FTE'!AG$121</f>
        <v>0</v>
      </c>
      <c r="AH88" s="115">
        <f>'[8]FY20 Initial Budget Allocat (2)'!AH88/'FY20 Initial Budget Allocat FTE'!AH$121</f>
        <v>0</v>
      </c>
      <c r="AI88" s="115">
        <f>'[8]FY20 Initial Budget Allocat (2)'!AI88/'FY20 Initial Budget Allocat FTE'!AI$121</f>
        <v>0</v>
      </c>
      <c r="AJ88" s="115">
        <f>'[8]FY20 Initial Budget Allocat (2)'!AJ88/'FY20 Initial Budget Allocat FTE'!AJ$121</f>
        <v>0</v>
      </c>
      <c r="AK88" s="115">
        <f>'[8]FY20 Initial Budget Allocat (2)'!AK88/'FY20 Initial Budget Allocat FTE'!AK$121</f>
        <v>0</v>
      </c>
      <c r="AL88" s="115">
        <f>'[8]FY20 Initial Budget Allocat (2)'!AL88/'FY20 Initial Budget Allocat FTE'!AL$121</f>
        <v>0</v>
      </c>
      <c r="AM88" s="115">
        <f>'[8]FY20 Initial Budget Allocat (2)'!AM88/'FY20 Initial Budget Allocat FTE'!AM$121</f>
        <v>0</v>
      </c>
      <c r="AN88" s="115">
        <f>'[8]FY20 Initial Budget Allocat (2)'!AN88/'FY20 Initial Budget Allocat FTE'!AN$121</f>
        <v>0</v>
      </c>
      <c r="AO88" s="115">
        <f>'[8]FY20 Initial Budget Allocat (2)'!AO88/'FY20 Initial Budget Allocat FTE'!AO$121</f>
        <v>0</v>
      </c>
      <c r="AP88" s="115">
        <f>'[8]FY20 Initial Budget Allocat (2)'!AP88/'FY20 Initial Budget Allocat FTE'!AP$121</f>
        <v>0</v>
      </c>
      <c r="AQ88" s="115">
        <f>'[8]FY20 Initial Budget Allocat (2)'!AQ88/'FY20 Initial Budget Allocat FTE'!AQ$121</f>
        <v>0</v>
      </c>
      <c r="AR88" s="115">
        <f>'[8]FY20 Initial Budget Allocat (2)'!AR88/'FY20 Initial Budget Allocat FTE'!AR$121</f>
        <v>0</v>
      </c>
      <c r="AS88" s="115">
        <f>'[8]FY20 Initial Budget Allocat (2)'!AS88/'FY20 Initial Budget Allocat FTE'!AS$121</f>
        <v>0</v>
      </c>
      <c r="AT88" s="115">
        <f>'[8]FY20 Initial Budget Allocat (2)'!AT88/'FY20 Initial Budget Allocat FTE'!AT$121</f>
        <v>0</v>
      </c>
      <c r="AU88" s="115">
        <f>'[8]FY20 Initial Budget Allocat (2)'!AU88/'FY20 Initial Budget Allocat FTE'!AU$121</f>
        <v>0</v>
      </c>
      <c r="AV88" s="115">
        <f>'[8]FY20 Initial Budget Allocat (2)'!AV88/'FY20 Initial Budget Allocat FTE'!AV$121</f>
        <v>28.375</v>
      </c>
      <c r="AW88" s="115">
        <f>'[8]FY20 Initial Budget Allocat (2)'!AW88/'FY20 Initial Budget Allocat FTE'!AW$121</f>
        <v>5.5337079349173681</v>
      </c>
      <c r="AX88" s="115">
        <f>'[8]FY20 Initial Budget Allocat (2)'!AX88/'FY20 Initial Budget Allocat FTE'!AX$121</f>
        <v>1</v>
      </c>
      <c r="AY88" s="115">
        <f>'[8]FY20 Initial Budget Allocat (2)'!AY88/'FY20 Initial Budget Allocat FTE'!AY$121</f>
        <v>4</v>
      </c>
      <c r="AZ88" s="115">
        <f>'[8]FY20 Initial Budget Allocat (2)'!AZ88/'FY20 Initial Budget Allocat FTE'!AZ$121</f>
        <v>15</v>
      </c>
      <c r="BA88" s="115">
        <f>'[8]FY20 Initial Budget Allocat (2)'!BA88/'FY20 Initial Budget Allocat FTE'!BA$121</f>
        <v>8</v>
      </c>
      <c r="BB88" s="115">
        <f>'[8]FY20 Initial Budget Allocat (2)'!BB88/'FY20 Initial Budget Allocat FTE'!BB$121</f>
        <v>2</v>
      </c>
      <c r="BC88" s="115">
        <f>'[8]FY20 Initial Budget Allocat (2)'!BC88/'FY20 Initial Budget Allocat FTE'!BC$121</f>
        <v>0</v>
      </c>
      <c r="BD88" s="115">
        <f>'[8]FY20 Initial Budget Allocat (2)'!BD88/'FY20 Initial Budget Allocat FTE'!BD$121</f>
        <v>13</v>
      </c>
      <c r="BE88" s="115">
        <f>'[8]FY20 Initial Budget Allocat (2)'!BE88/'FY20 Initial Budget Allocat FTE'!BE$121</f>
        <v>1</v>
      </c>
      <c r="BF88" s="115">
        <f>'[8]FY20 Initial Budget Allocat (2)'!BF88/'FY20 Initial Budget Allocat FTE'!BF$121</f>
        <v>2.1791940845078726</v>
      </c>
      <c r="BG88" s="115">
        <f>'[8]FY20 Initial Budget Allocat (2)'!BG88/'FY20 Initial Budget Allocat FTE'!BG$121</f>
        <v>0</v>
      </c>
      <c r="BH88" s="115">
        <f>'[8]FY20 Initial Budget Allocat (2)'!BH88/'FY20 Initial Budget Allocat FTE'!BH$121</f>
        <v>0</v>
      </c>
      <c r="BI88" s="115">
        <f>'[8]FY20 Initial Budget Allocat (2)'!BI88/'FY20 Initial Budget Allocat FTE'!BI$121</f>
        <v>0</v>
      </c>
      <c r="BJ88" s="79"/>
      <c r="BK88" s="79">
        <v>85000</v>
      </c>
      <c r="BL88" s="79"/>
      <c r="BM88" s="79">
        <v>228189.82</v>
      </c>
      <c r="BN88" s="79">
        <v>3631.09</v>
      </c>
      <c r="BO88" s="79">
        <v>0</v>
      </c>
      <c r="BP88" s="115">
        <f>'[8]FY20 Initial Budget Allocat (2)'!BP88/'FY20 Initial Budget Allocat FTE'!BP$121</f>
        <v>0</v>
      </c>
      <c r="BQ88" s="115">
        <f>'[8]FY20 Initial Budget Allocat (2)'!BQ88/'FY20 Initial Budget Allocat FTE'!BQ$121</f>
        <v>0</v>
      </c>
      <c r="BR88" s="115">
        <f>'[8]FY20 Initial Budget Allocat (2)'!BR88/'FY20 Initial Budget Allocat FTE'!BR$121</f>
        <v>0</v>
      </c>
      <c r="BS88" s="115">
        <f>'[8]FY20 Initial Budget Allocat (2)'!BS88/'FY20 Initial Budget Allocat FTE'!BS$121</f>
        <v>0</v>
      </c>
      <c r="BT88" s="115">
        <f>'[8]FY20 Initial Budget Allocat (2)'!BT88/'FY20 Initial Budget Allocat FTE'!BT$121</f>
        <v>0</v>
      </c>
      <c r="BU88" s="115">
        <f>'[8]FY20 Initial Budget Allocat (2)'!BU88/'FY20 Initial Budget Allocat FTE'!BU$121</f>
        <v>0</v>
      </c>
      <c r="BV88" s="115">
        <f>'[8]FY20 Initial Budget Allocat (2)'!BV88/'FY20 Initial Budget Allocat FTE'!BV$121</f>
        <v>1</v>
      </c>
      <c r="BW88" s="80">
        <v>20000</v>
      </c>
      <c r="BX88" s="80">
        <v>29000</v>
      </c>
      <c r="BY88" s="80">
        <v>0</v>
      </c>
      <c r="BZ88" s="80">
        <v>0</v>
      </c>
      <c r="CA88" s="115">
        <f>'[8]FY20 Initial Budget Allocat (2)'!CA88/'FY20 Initial Budget Allocat FTE'!CA$121</f>
        <v>0</v>
      </c>
      <c r="CB88" s="115">
        <f>'[8]FY20 Initial Budget Allocat (2)'!CB88/'FY20 Initial Budget Allocat FTE'!CB$121</f>
        <v>0</v>
      </c>
      <c r="CC88" s="80">
        <v>23700</v>
      </c>
      <c r="CD88" s="115">
        <f>'[8]FY20 Initial Budget Allocat (2)'!CD88/'FY20 Initial Budget Allocat FTE'!CD$121</f>
        <v>2</v>
      </c>
      <c r="CE88" s="115">
        <f>'[8]FY20 Initial Budget Allocat (2)'!CE88/'FY20 Initial Budget Allocat FTE'!CE$121</f>
        <v>0</v>
      </c>
      <c r="CF88" s="115">
        <f>'[8]FY20 Initial Budget Allocat (2)'!CF88/'FY20 Initial Budget Allocat FTE'!CF$121</f>
        <v>0</v>
      </c>
      <c r="CG88" s="115">
        <f>'[8]FY20 Initial Budget Allocat (2)'!CG88/'FY20 Initial Budget Allocat FTE'!CG$121</f>
        <v>0</v>
      </c>
      <c r="CH88" s="115">
        <f>'[8]FY20 Initial Budget Allocat (2)'!CH88/'FY20 Initial Budget Allocat FTE'!CH$121</f>
        <v>1</v>
      </c>
      <c r="CI88" s="115">
        <f>'[8]FY20 Initial Budget Allocat (2)'!CI88/'FY20 Initial Budget Allocat FTE'!CI$121</f>
        <v>0</v>
      </c>
      <c r="CJ88" s="115">
        <f>'[8]FY20 Initial Budget Allocat (2)'!CJ88/'FY20 Initial Budget Allocat FTE'!CJ$121</f>
        <v>0</v>
      </c>
      <c r="CK88" s="79">
        <v>0</v>
      </c>
      <c r="CL88" s="79">
        <v>0</v>
      </c>
      <c r="CM88" s="79">
        <v>657699.69999999995</v>
      </c>
      <c r="CN88" s="79">
        <v>0</v>
      </c>
      <c r="CO88" s="115">
        <f>'[8]FY20 Initial Budget Allocat (2)'!CO88/'FY20 Initial Budget Allocat FTE'!CO$121</f>
        <v>1</v>
      </c>
      <c r="CP88" s="79">
        <v>75000</v>
      </c>
      <c r="CQ88" s="79">
        <v>23525.689149560123</v>
      </c>
      <c r="CR88" s="79">
        <v>0</v>
      </c>
      <c r="CS88" s="79">
        <v>94940.097572815532</v>
      </c>
      <c r="CT88" s="115">
        <f>'[8]FY20 Initial Budget Allocat (2)'!CT88/'FY20 Initial Budget Allocat FTE'!CT$121</f>
        <v>0</v>
      </c>
      <c r="CU88" s="115">
        <f>'[8]FY20 Initial Budget Allocat (2)'!CU88/'FY20 Initial Budget Allocat FTE'!CU$121</f>
        <v>1</v>
      </c>
      <c r="CV88" s="79"/>
      <c r="CW88" s="79">
        <v>0</v>
      </c>
      <c r="CX88" s="115">
        <f>'[8]FY20 Initial Budget Allocat (2)'!CX88/'FY20 Initial Budget Allocat FTE'!CX$121</f>
        <v>1</v>
      </c>
      <c r="CY88" s="79">
        <v>5000</v>
      </c>
      <c r="CZ88" s="79">
        <v>115407</v>
      </c>
      <c r="DA88" s="79">
        <v>68100</v>
      </c>
      <c r="DB88" s="79">
        <v>163896.18920181645</v>
      </c>
      <c r="DC88" s="82">
        <v>0</v>
      </c>
      <c r="DD88" s="79">
        <v>0</v>
      </c>
      <c r="DE88" s="79"/>
      <c r="DF88" s="79">
        <v>46200</v>
      </c>
      <c r="DG88" s="79">
        <v>0</v>
      </c>
      <c r="DH88" s="83">
        <v>0</v>
      </c>
      <c r="DI88" s="79">
        <v>18045.955374951485</v>
      </c>
      <c r="DJ88" s="79">
        <v>12283002.886539903</v>
      </c>
      <c r="DK88" s="84">
        <v>16997.113460097462</v>
      </c>
      <c r="DL88" s="84">
        <v>0</v>
      </c>
      <c r="DM88" s="84">
        <f t="shared" si="6"/>
        <v>12300000</v>
      </c>
      <c r="DN88" s="116">
        <f t="shared" si="7"/>
        <v>0</v>
      </c>
      <c r="DO88" s="116">
        <f t="shared" si="8"/>
        <v>0</v>
      </c>
      <c r="DP88" s="116">
        <f t="shared" si="9"/>
        <v>33.908707934917366</v>
      </c>
      <c r="DQ88" s="116">
        <f t="shared" si="10"/>
        <v>35.17919408450787</v>
      </c>
      <c r="DR88" s="116">
        <f t="shared" si="11"/>
        <v>9</v>
      </c>
    </row>
    <row r="89" spans="1:122" x14ac:dyDescent="0.25">
      <c r="A89" s="76">
        <v>456</v>
      </c>
      <c r="B89" s="76" t="s">
        <v>229</v>
      </c>
      <c r="C89" s="77" t="s">
        <v>141</v>
      </c>
      <c r="D89" s="41">
        <v>4</v>
      </c>
      <c r="E89" s="78">
        <v>631</v>
      </c>
      <c r="F89" s="78">
        <v>0</v>
      </c>
      <c r="G89" s="115">
        <f>'[8]FY20 Initial Budget Allocat (2)'!G89/'FY20 Initial Budget Allocat FTE'!G$121</f>
        <v>1</v>
      </c>
      <c r="H89" s="115">
        <f>'[8]FY20 Initial Budget Allocat (2)'!H89/'FY20 Initial Budget Allocat FTE'!H$121</f>
        <v>1</v>
      </c>
      <c r="I89" s="115">
        <f>'[8]FY20 Initial Budget Allocat (2)'!I89/'FY20 Initial Budget Allocat FTE'!I$121</f>
        <v>1</v>
      </c>
      <c r="J89" s="115">
        <f>'[8]FY20 Initial Budget Allocat (2)'!J89/'FY20 Initial Budget Allocat FTE'!J$121</f>
        <v>0</v>
      </c>
      <c r="K89" s="115">
        <f>'[8]FY20 Initial Budget Allocat (2)'!K89/'FY20 Initial Budget Allocat FTE'!K$121</f>
        <v>2.2989921223405743</v>
      </c>
      <c r="L89" s="115">
        <f>'[8]FY20 Initial Budget Allocat (2)'!L89/'FY20 Initial Budget Allocat FTE'!L$121</f>
        <v>0</v>
      </c>
      <c r="M89" s="115">
        <f>'[8]FY20 Initial Budget Allocat (2)'!M89/'FY20 Initial Budget Allocat FTE'!M$121</f>
        <v>1</v>
      </c>
      <c r="N89" s="115">
        <f>'[8]FY20 Initial Budget Allocat (2)'!N89/'FY20 Initial Budget Allocat FTE'!N$121</f>
        <v>1.5999999999999999</v>
      </c>
      <c r="O89" s="115">
        <f>'[8]FY20 Initial Budget Allocat (2)'!O89/'FY20 Initial Budget Allocat FTE'!O$121</f>
        <v>1</v>
      </c>
      <c r="P89" s="115">
        <f>'[8]FY20 Initial Budget Allocat (2)'!P89/'FY20 Initial Budget Allocat FTE'!P$121</f>
        <v>1</v>
      </c>
      <c r="Q89" s="115">
        <f>'[8]FY20 Initial Budget Allocat (2)'!Q89/'FY20 Initial Budget Allocat FTE'!Q$121</f>
        <v>0</v>
      </c>
      <c r="R89" s="115">
        <f>'[8]FY20 Initial Budget Allocat (2)'!R89/'FY20 Initial Budget Allocat FTE'!R$121</f>
        <v>1</v>
      </c>
      <c r="S89" s="115">
        <f>'[8]FY20 Initial Budget Allocat (2)'!S89/'FY20 Initial Budget Allocat FTE'!S$121</f>
        <v>1</v>
      </c>
      <c r="T89" s="115">
        <f>'[8]FY20 Initial Budget Allocat (2)'!T89/'FY20 Initial Budget Allocat FTE'!T$121</f>
        <v>1</v>
      </c>
      <c r="U89" s="115">
        <f>'[8]FY20 Initial Budget Allocat (2)'!U89/'FY20 Initial Budget Allocat FTE'!U$121</f>
        <v>0</v>
      </c>
      <c r="V89" s="115">
        <f>'[8]FY20 Initial Budget Allocat (2)'!V89/'FY20 Initial Budget Allocat FTE'!V$121</f>
        <v>0</v>
      </c>
      <c r="W89" s="115">
        <f>'[8]FY20 Initial Budget Allocat (2)'!W89/'FY20 Initial Budget Allocat FTE'!W$121</f>
        <v>0</v>
      </c>
      <c r="X89" s="115">
        <f>'[8]FY20 Initial Budget Allocat (2)'!X89/'FY20 Initial Budget Allocat FTE'!X$121</f>
        <v>0</v>
      </c>
      <c r="Y89" s="115">
        <f>'[8]FY20 Initial Budget Allocat (2)'!Y89/'FY20 Initial Budget Allocat FTE'!Y$121</f>
        <v>0</v>
      </c>
      <c r="Z89" s="115">
        <f>'[8]FY20 Initial Budget Allocat (2)'!Z89/'FY20 Initial Budget Allocat FTE'!Z$121</f>
        <v>0</v>
      </c>
      <c r="AA89" s="115">
        <f>'[8]FY20 Initial Budget Allocat (2)'!AA89/'FY20 Initial Budget Allocat FTE'!AA$121</f>
        <v>0</v>
      </c>
      <c r="AB89" s="115">
        <f>'[8]FY20 Initial Budget Allocat (2)'!AB89/'FY20 Initial Budget Allocat FTE'!AB$121</f>
        <v>0</v>
      </c>
      <c r="AC89" s="115">
        <f>'[8]FY20 Initial Budget Allocat (2)'!AC89/'FY20 Initial Budget Allocat FTE'!AC$121</f>
        <v>0</v>
      </c>
      <c r="AD89" s="115">
        <f>'[8]FY20 Initial Budget Allocat (2)'!AD89/'FY20 Initial Budget Allocat FTE'!AD$121</f>
        <v>0</v>
      </c>
      <c r="AE89" s="115">
        <f>'[8]FY20 Initial Budget Allocat (2)'!AE89/'FY20 Initial Budget Allocat FTE'!AE$121</f>
        <v>0</v>
      </c>
      <c r="AF89" s="115">
        <f>'[8]FY20 Initial Budget Allocat (2)'!AF89/'FY20 Initial Budget Allocat FTE'!AF$121</f>
        <v>0</v>
      </c>
      <c r="AG89" s="115">
        <f>'[8]FY20 Initial Budget Allocat (2)'!AG89/'FY20 Initial Budget Allocat FTE'!AG$121</f>
        <v>0</v>
      </c>
      <c r="AH89" s="115">
        <f>'[8]FY20 Initial Budget Allocat (2)'!AH89/'FY20 Initial Budget Allocat FTE'!AH$121</f>
        <v>0</v>
      </c>
      <c r="AI89" s="115">
        <f>'[8]FY20 Initial Budget Allocat (2)'!AI89/'FY20 Initial Budget Allocat FTE'!AI$121</f>
        <v>0</v>
      </c>
      <c r="AJ89" s="115">
        <f>'[8]FY20 Initial Budget Allocat (2)'!AJ89/'FY20 Initial Budget Allocat FTE'!AJ$121</f>
        <v>0</v>
      </c>
      <c r="AK89" s="115">
        <f>'[8]FY20 Initial Budget Allocat (2)'!AK89/'FY20 Initial Budget Allocat FTE'!AK$121</f>
        <v>0</v>
      </c>
      <c r="AL89" s="115">
        <f>'[8]FY20 Initial Budget Allocat (2)'!AL89/'FY20 Initial Budget Allocat FTE'!AL$121</f>
        <v>0</v>
      </c>
      <c r="AM89" s="115">
        <f>'[8]FY20 Initial Budget Allocat (2)'!AM89/'FY20 Initial Budget Allocat FTE'!AM$121</f>
        <v>0</v>
      </c>
      <c r="AN89" s="115">
        <f>'[8]FY20 Initial Budget Allocat (2)'!AN89/'FY20 Initial Budget Allocat FTE'!AN$121</f>
        <v>0</v>
      </c>
      <c r="AO89" s="115">
        <f>'[8]FY20 Initial Budget Allocat (2)'!AO89/'FY20 Initial Budget Allocat FTE'!AO$121</f>
        <v>0</v>
      </c>
      <c r="AP89" s="115">
        <f>'[8]FY20 Initial Budget Allocat (2)'!AP89/'FY20 Initial Budget Allocat FTE'!AP$121</f>
        <v>0</v>
      </c>
      <c r="AQ89" s="115">
        <f>'[8]FY20 Initial Budget Allocat (2)'!AQ89/'FY20 Initial Budget Allocat FTE'!AQ$121</f>
        <v>0</v>
      </c>
      <c r="AR89" s="115">
        <f>'[8]FY20 Initial Budget Allocat (2)'!AR89/'FY20 Initial Budget Allocat FTE'!AR$121</f>
        <v>0</v>
      </c>
      <c r="AS89" s="115">
        <f>'[8]FY20 Initial Budget Allocat (2)'!AS89/'FY20 Initial Budget Allocat FTE'!AS$121</f>
        <v>0</v>
      </c>
      <c r="AT89" s="115">
        <f>'[8]FY20 Initial Budget Allocat (2)'!AT89/'FY20 Initial Budget Allocat FTE'!AT$121</f>
        <v>0</v>
      </c>
      <c r="AU89" s="115">
        <f>'[8]FY20 Initial Budget Allocat (2)'!AU89/'FY20 Initial Budget Allocat FTE'!AU$121</f>
        <v>0</v>
      </c>
      <c r="AV89" s="115">
        <f>'[8]FY20 Initial Budget Allocat (2)'!AV89/'FY20 Initial Budget Allocat FTE'!AV$121</f>
        <v>23.791666666666671</v>
      </c>
      <c r="AW89" s="115">
        <f>'[8]FY20 Initial Budget Allocat (2)'!AW89/'FY20 Initial Budget Allocat FTE'!AW$121</f>
        <v>0</v>
      </c>
      <c r="AX89" s="115">
        <f>'[8]FY20 Initial Budget Allocat (2)'!AX89/'FY20 Initial Budget Allocat FTE'!AX$121</f>
        <v>1</v>
      </c>
      <c r="AY89" s="115">
        <f>'[8]FY20 Initial Budget Allocat (2)'!AY89/'FY20 Initial Budget Allocat FTE'!AY$121</f>
        <v>2</v>
      </c>
      <c r="AZ89" s="115">
        <f>'[8]FY20 Initial Budget Allocat (2)'!AZ89/'FY20 Initial Budget Allocat FTE'!AZ$121</f>
        <v>7</v>
      </c>
      <c r="BA89" s="115">
        <f>'[8]FY20 Initial Budget Allocat (2)'!BA89/'FY20 Initial Budget Allocat FTE'!BA$121</f>
        <v>0</v>
      </c>
      <c r="BB89" s="115">
        <f>'[8]FY20 Initial Budget Allocat (2)'!BB89/'FY20 Initial Budget Allocat FTE'!BB$121</f>
        <v>0</v>
      </c>
      <c r="BC89" s="115">
        <f>'[8]FY20 Initial Budget Allocat (2)'!BC89/'FY20 Initial Budget Allocat FTE'!BC$121</f>
        <v>0</v>
      </c>
      <c r="BD89" s="115">
        <f>'[8]FY20 Initial Budget Allocat (2)'!BD89/'FY20 Initial Budget Allocat FTE'!BD$121</f>
        <v>9</v>
      </c>
      <c r="BE89" s="115">
        <f>'[8]FY20 Initial Budget Allocat (2)'!BE89/'FY20 Initial Budget Allocat FTE'!BE$121</f>
        <v>0</v>
      </c>
      <c r="BF89" s="115">
        <f>'[8]FY20 Initial Budget Allocat (2)'!BF89/'FY20 Initial Budget Allocat FTE'!BF$121</f>
        <v>2</v>
      </c>
      <c r="BG89" s="115">
        <f>'[8]FY20 Initial Budget Allocat (2)'!BG89/'FY20 Initial Budget Allocat FTE'!BG$121</f>
        <v>0</v>
      </c>
      <c r="BH89" s="115">
        <f>'[8]FY20 Initial Budget Allocat (2)'!BH89/'FY20 Initial Budget Allocat FTE'!BH$121</f>
        <v>0</v>
      </c>
      <c r="BI89" s="115">
        <f>'[8]FY20 Initial Budget Allocat (2)'!BI89/'FY20 Initial Budget Allocat FTE'!BI$121</f>
        <v>0</v>
      </c>
      <c r="BJ89" s="79">
        <v>70000</v>
      </c>
      <c r="BK89" s="79">
        <v>0</v>
      </c>
      <c r="BL89" s="79"/>
      <c r="BM89" s="79">
        <v>0</v>
      </c>
      <c r="BN89" s="79">
        <v>0</v>
      </c>
      <c r="BO89" s="79">
        <v>12875</v>
      </c>
      <c r="BP89" s="115">
        <f>'[8]FY20 Initial Budget Allocat (2)'!BP89/'FY20 Initial Budget Allocat FTE'!BP$121</f>
        <v>0</v>
      </c>
      <c r="BQ89" s="115">
        <f>'[8]FY20 Initial Budget Allocat (2)'!BQ89/'FY20 Initial Budget Allocat FTE'!BQ$121</f>
        <v>0</v>
      </c>
      <c r="BR89" s="115">
        <f>'[8]FY20 Initial Budget Allocat (2)'!BR89/'FY20 Initial Budget Allocat FTE'!BR$121</f>
        <v>0</v>
      </c>
      <c r="BS89" s="115">
        <f>'[8]FY20 Initial Budget Allocat (2)'!BS89/'FY20 Initial Budget Allocat FTE'!BS$121</f>
        <v>0</v>
      </c>
      <c r="BT89" s="115">
        <f>'[8]FY20 Initial Budget Allocat (2)'!BT89/'FY20 Initial Budget Allocat FTE'!BT$121</f>
        <v>0</v>
      </c>
      <c r="BU89" s="115">
        <f>'[8]FY20 Initial Budget Allocat (2)'!BU89/'FY20 Initial Budget Allocat FTE'!BU$121</f>
        <v>0</v>
      </c>
      <c r="BV89" s="115">
        <f>'[8]FY20 Initial Budget Allocat (2)'!BV89/'FY20 Initial Budget Allocat FTE'!BV$121</f>
        <v>0</v>
      </c>
      <c r="BW89" s="80">
        <v>0</v>
      </c>
      <c r="BX89" s="80">
        <v>0</v>
      </c>
      <c r="BY89" s="80">
        <v>0</v>
      </c>
      <c r="BZ89" s="80">
        <v>0</v>
      </c>
      <c r="CA89" s="115">
        <f>'[8]FY20 Initial Budget Allocat (2)'!CA89/'FY20 Initial Budget Allocat FTE'!CA$121</f>
        <v>0</v>
      </c>
      <c r="CB89" s="115">
        <f>'[8]FY20 Initial Budget Allocat (2)'!CB89/'FY20 Initial Budget Allocat FTE'!CB$121</f>
        <v>0</v>
      </c>
      <c r="CC89" s="80">
        <v>0</v>
      </c>
      <c r="CD89" s="115">
        <f>'[8]FY20 Initial Budget Allocat (2)'!CD89/'FY20 Initial Budget Allocat FTE'!CD$121</f>
        <v>0</v>
      </c>
      <c r="CE89" s="115">
        <f>'[8]FY20 Initial Budget Allocat (2)'!CE89/'FY20 Initial Budget Allocat FTE'!CE$121</f>
        <v>0</v>
      </c>
      <c r="CF89" s="115">
        <f>'[8]FY20 Initial Budget Allocat (2)'!CF89/'FY20 Initial Budget Allocat FTE'!CF$121</f>
        <v>0</v>
      </c>
      <c r="CG89" s="115">
        <f>'[8]FY20 Initial Budget Allocat (2)'!CG89/'FY20 Initial Budget Allocat FTE'!CG$121</f>
        <v>0</v>
      </c>
      <c r="CH89" s="115">
        <f>'[8]FY20 Initial Budget Allocat (2)'!CH89/'FY20 Initial Budget Allocat FTE'!CH$121</f>
        <v>0</v>
      </c>
      <c r="CI89" s="115">
        <f>'[8]FY20 Initial Budget Allocat (2)'!CI89/'FY20 Initial Budget Allocat FTE'!CI$121</f>
        <v>0</v>
      </c>
      <c r="CJ89" s="115">
        <f>'[8]FY20 Initial Budget Allocat (2)'!CJ89/'FY20 Initial Budget Allocat FTE'!CJ$121</f>
        <v>0</v>
      </c>
      <c r="CK89" s="79">
        <v>0</v>
      </c>
      <c r="CL89" s="79">
        <v>0</v>
      </c>
      <c r="CM89" s="79">
        <v>311349.09999999998</v>
      </c>
      <c r="CN89" s="79">
        <v>0</v>
      </c>
      <c r="CO89" s="115">
        <f>'[8]FY20 Initial Budget Allocat (2)'!CO89/'FY20 Initial Budget Allocat FTE'!CO$121</f>
        <v>0</v>
      </c>
      <c r="CP89" s="79">
        <v>0</v>
      </c>
      <c r="CQ89" s="79">
        <v>0</v>
      </c>
      <c r="CR89" s="79">
        <v>0</v>
      </c>
      <c r="CS89" s="79">
        <v>77973.17857142858</v>
      </c>
      <c r="CT89" s="115">
        <f>'[8]FY20 Initial Budget Allocat (2)'!CT89/'FY20 Initial Budget Allocat FTE'!CT$121</f>
        <v>1</v>
      </c>
      <c r="CU89" s="115">
        <f>'[8]FY20 Initial Budget Allocat (2)'!CU89/'FY20 Initial Budget Allocat FTE'!CU$121</f>
        <v>0</v>
      </c>
      <c r="CV89" s="95">
        <v>150000</v>
      </c>
      <c r="CX89" s="115">
        <f>'[8]FY20 Initial Budget Allocat (2)'!CX89/'FY20 Initial Budget Allocat FTE'!CX$121</f>
        <v>0</v>
      </c>
      <c r="CY89" s="79">
        <v>0</v>
      </c>
      <c r="CZ89" s="79">
        <v>0</v>
      </c>
      <c r="DA89" s="79">
        <v>63100</v>
      </c>
      <c r="DB89" s="79">
        <v>98291.017597839658</v>
      </c>
      <c r="DC89" s="82">
        <v>0</v>
      </c>
      <c r="DD89" s="79">
        <v>0</v>
      </c>
      <c r="DE89" s="79">
        <v>4250</v>
      </c>
      <c r="DG89" s="79">
        <v>0</v>
      </c>
      <c r="DH89" s="83">
        <v>0</v>
      </c>
      <c r="DI89" s="79">
        <v>10923.7249526203</v>
      </c>
      <c r="DJ89" s="79">
        <v>6892870.4451034078</v>
      </c>
      <c r="DK89" s="84">
        <v>4.8965923488140106E-3</v>
      </c>
      <c r="DL89" s="84">
        <v>0</v>
      </c>
      <c r="DM89" s="84">
        <f t="shared" si="6"/>
        <v>6892870.4500000002</v>
      </c>
      <c r="DN89" s="116">
        <f t="shared" si="7"/>
        <v>0</v>
      </c>
      <c r="DO89" s="116">
        <f t="shared" si="8"/>
        <v>0</v>
      </c>
      <c r="DP89" s="116">
        <f t="shared" si="9"/>
        <v>23.791666666666671</v>
      </c>
      <c r="DQ89" s="116">
        <f t="shared" si="10"/>
        <v>21</v>
      </c>
      <c r="DR89" s="116">
        <f t="shared" si="11"/>
        <v>0</v>
      </c>
    </row>
    <row r="90" spans="1:122" x14ac:dyDescent="0.25">
      <c r="A90" s="76">
        <v>305</v>
      </c>
      <c r="B90" s="76" t="s">
        <v>230</v>
      </c>
      <c r="C90" s="77" t="s">
        <v>135</v>
      </c>
      <c r="D90" s="41">
        <v>2</v>
      </c>
      <c r="E90" s="78">
        <v>181</v>
      </c>
      <c r="F90" s="78">
        <v>11.323699421965319</v>
      </c>
      <c r="G90" s="115">
        <f>'[8]FY20 Initial Budget Allocat (2)'!G90/'FY20 Initial Budget Allocat FTE'!G$121</f>
        <v>1</v>
      </c>
      <c r="H90" s="115">
        <f>'[8]FY20 Initial Budget Allocat (2)'!H90/'FY20 Initial Budget Allocat FTE'!H$121</f>
        <v>1</v>
      </c>
      <c r="I90" s="115">
        <f>'[8]FY20 Initial Budget Allocat (2)'!I90/'FY20 Initial Budget Allocat FTE'!I$121</f>
        <v>0</v>
      </c>
      <c r="J90" s="115">
        <f>'[8]FY20 Initial Budget Allocat (2)'!J90/'FY20 Initial Budget Allocat FTE'!J$121</f>
        <v>0</v>
      </c>
      <c r="K90" s="115">
        <f>'[8]FY20 Initial Budget Allocat (2)'!K90/'FY20 Initial Budget Allocat FTE'!K$121</f>
        <v>0</v>
      </c>
      <c r="L90" s="115">
        <f>'[8]FY20 Initial Budget Allocat (2)'!L90/'FY20 Initial Budget Allocat FTE'!L$121</f>
        <v>0.5</v>
      </c>
      <c r="M90" s="115">
        <f>'[8]FY20 Initial Budget Allocat (2)'!M90/'FY20 Initial Budget Allocat FTE'!M$121</f>
        <v>1</v>
      </c>
      <c r="N90" s="115">
        <f>'[8]FY20 Initial Budget Allocat (2)'!N90/'FY20 Initial Budget Allocat FTE'!N$121</f>
        <v>0</v>
      </c>
      <c r="O90" s="115">
        <f>'[8]FY20 Initial Budget Allocat (2)'!O90/'FY20 Initial Budget Allocat FTE'!O$121</f>
        <v>0</v>
      </c>
      <c r="P90" s="115">
        <f>'[8]FY20 Initial Budget Allocat (2)'!P90/'FY20 Initial Budget Allocat FTE'!P$121</f>
        <v>0</v>
      </c>
      <c r="Q90" s="115">
        <f>'[8]FY20 Initial Budget Allocat (2)'!Q90/'FY20 Initial Budget Allocat FTE'!Q$121</f>
        <v>0</v>
      </c>
      <c r="R90" s="115">
        <f>'[8]FY20 Initial Budget Allocat (2)'!R90/'FY20 Initial Budget Allocat FTE'!R$121</f>
        <v>1</v>
      </c>
      <c r="S90" s="115">
        <f>'[8]FY20 Initial Budget Allocat (2)'!S90/'FY20 Initial Budget Allocat FTE'!S$121</f>
        <v>1</v>
      </c>
      <c r="T90" s="115">
        <f>'[8]FY20 Initial Budget Allocat (2)'!T90/'FY20 Initial Budget Allocat FTE'!T$121</f>
        <v>1</v>
      </c>
      <c r="U90" s="115">
        <f>'[8]FY20 Initial Budget Allocat (2)'!U90/'FY20 Initial Budget Allocat FTE'!U$121</f>
        <v>0.5</v>
      </c>
      <c r="V90" s="115">
        <f>'[8]FY20 Initial Budget Allocat (2)'!V90/'FY20 Initial Budget Allocat FTE'!V$121</f>
        <v>1</v>
      </c>
      <c r="W90" s="115">
        <f>'[8]FY20 Initial Budget Allocat (2)'!W90/'FY20 Initial Budget Allocat FTE'!W$121</f>
        <v>1</v>
      </c>
      <c r="X90" s="115">
        <f>'[8]FY20 Initial Budget Allocat (2)'!X90/'FY20 Initial Budget Allocat FTE'!X$121</f>
        <v>1</v>
      </c>
      <c r="Y90" s="115">
        <f>'[8]FY20 Initial Budget Allocat (2)'!Y90/'FY20 Initial Budget Allocat FTE'!Y$121</f>
        <v>-3.0673717676069148E-15</v>
      </c>
      <c r="Z90" s="115">
        <f>'[8]FY20 Initial Budget Allocat (2)'!Z90/'FY20 Initial Budget Allocat FTE'!Z$121</f>
        <v>1</v>
      </c>
      <c r="AA90" s="115">
        <f>'[8]FY20 Initial Budget Allocat (2)'!AA90/'FY20 Initial Budget Allocat FTE'!AA$121</f>
        <v>0</v>
      </c>
      <c r="AB90" s="115">
        <f>'[8]FY20 Initial Budget Allocat (2)'!AB90/'FY20 Initial Budget Allocat FTE'!AB$121</f>
        <v>0</v>
      </c>
      <c r="AC90" s="115">
        <f>'[8]FY20 Initial Budget Allocat (2)'!AC90/'FY20 Initial Budget Allocat FTE'!AC$121</f>
        <v>0</v>
      </c>
      <c r="AD90" s="115">
        <f>'[8]FY20 Initial Budget Allocat (2)'!AD90/'FY20 Initial Budget Allocat FTE'!AD$121</f>
        <v>0</v>
      </c>
      <c r="AE90" s="115">
        <f>'[8]FY20 Initial Budget Allocat (2)'!AE90/'FY20 Initial Budget Allocat FTE'!AE$121</f>
        <v>1</v>
      </c>
      <c r="AF90" s="115">
        <f>'[8]FY20 Initial Budget Allocat (2)'!AF90/'FY20 Initial Budget Allocat FTE'!AF$121</f>
        <v>1</v>
      </c>
      <c r="AG90" s="115">
        <f>'[8]FY20 Initial Budget Allocat (2)'!AG90/'FY20 Initial Budget Allocat FTE'!AG$121</f>
        <v>2</v>
      </c>
      <c r="AH90" s="115">
        <f>'[8]FY20 Initial Budget Allocat (2)'!AH90/'FY20 Initial Budget Allocat FTE'!AH$121</f>
        <v>2</v>
      </c>
      <c r="AI90" s="115">
        <f>'[8]FY20 Initial Budget Allocat (2)'!AI90/'FY20 Initial Budget Allocat FTE'!AI$121</f>
        <v>2</v>
      </c>
      <c r="AJ90" s="115">
        <f>'[8]FY20 Initial Budget Allocat (2)'!AJ90/'FY20 Initial Budget Allocat FTE'!AJ$121</f>
        <v>2</v>
      </c>
      <c r="AK90" s="115">
        <f>'[8]FY20 Initial Budget Allocat (2)'!AK90/'FY20 Initial Budget Allocat FTE'!AK$121</f>
        <v>2</v>
      </c>
      <c r="AL90" s="115">
        <f>'[8]FY20 Initial Budget Allocat (2)'!AL90/'FY20 Initial Budget Allocat FTE'!AL$121</f>
        <v>1</v>
      </c>
      <c r="AM90" s="115">
        <f>'[8]FY20 Initial Budget Allocat (2)'!AM90/'FY20 Initial Budget Allocat FTE'!AM$121</f>
        <v>1</v>
      </c>
      <c r="AN90" s="115">
        <f>'[8]FY20 Initial Budget Allocat (2)'!AN90/'FY20 Initial Budget Allocat FTE'!AN$121</f>
        <v>0</v>
      </c>
      <c r="AO90" s="115">
        <f>'[8]FY20 Initial Budget Allocat (2)'!AO90/'FY20 Initial Budget Allocat FTE'!AO$121</f>
        <v>0</v>
      </c>
      <c r="AP90" s="115">
        <f>'[8]FY20 Initial Budget Allocat (2)'!AP90/'FY20 Initial Budget Allocat FTE'!AP$121</f>
        <v>0</v>
      </c>
      <c r="AQ90" s="115">
        <f>'[8]FY20 Initial Budget Allocat (2)'!AQ90/'FY20 Initial Budget Allocat FTE'!AQ$121</f>
        <v>0</v>
      </c>
      <c r="AR90" s="115">
        <f>'[8]FY20 Initial Budget Allocat (2)'!AR90/'FY20 Initial Budget Allocat FTE'!AR$121</f>
        <v>0</v>
      </c>
      <c r="AS90" s="115">
        <f>'[8]FY20 Initial Budget Allocat (2)'!AS90/'FY20 Initial Budget Allocat FTE'!AS$121</f>
        <v>0</v>
      </c>
      <c r="AT90" s="115">
        <f>'[8]FY20 Initial Budget Allocat (2)'!AT90/'FY20 Initial Budget Allocat FTE'!AT$121</f>
        <v>0</v>
      </c>
      <c r="AU90" s="115">
        <f>'[8]FY20 Initial Budget Allocat (2)'!AU90/'FY20 Initial Budget Allocat FTE'!AU$121</f>
        <v>0</v>
      </c>
      <c r="AV90" s="115">
        <f>'[8]FY20 Initial Budget Allocat (2)'!AV90/'FY20 Initial Budget Allocat FTE'!AV$121</f>
        <v>0</v>
      </c>
      <c r="AW90" s="115">
        <f>'[8]FY20 Initial Budget Allocat (2)'!AW90/'FY20 Initial Budget Allocat FTE'!AW$121</f>
        <v>0</v>
      </c>
      <c r="AX90" s="115">
        <f>'[8]FY20 Initial Budget Allocat (2)'!AX90/'FY20 Initial Budget Allocat FTE'!AX$121</f>
        <v>0.5</v>
      </c>
      <c r="AY90" s="115">
        <f>'[8]FY20 Initial Budget Allocat (2)'!AY90/'FY20 Initial Budget Allocat FTE'!AY$121</f>
        <v>0.5</v>
      </c>
      <c r="AZ90" s="115">
        <f>'[8]FY20 Initial Budget Allocat (2)'!AZ90/'FY20 Initial Budget Allocat FTE'!AZ$121</f>
        <v>1</v>
      </c>
      <c r="BA90" s="115">
        <f>'[8]FY20 Initial Budget Allocat (2)'!BA90/'FY20 Initial Budget Allocat FTE'!BA$121</f>
        <v>0</v>
      </c>
      <c r="BB90" s="115">
        <f>'[8]FY20 Initial Budget Allocat (2)'!BB90/'FY20 Initial Budget Allocat FTE'!BB$121</f>
        <v>0</v>
      </c>
      <c r="BC90" s="115">
        <f>'[8]FY20 Initial Budget Allocat (2)'!BC90/'FY20 Initial Budget Allocat FTE'!BC$121</f>
        <v>0</v>
      </c>
      <c r="BD90" s="115">
        <f>'[8]FY20 Initial Budget Allocat (2)'!BD90/'FY20 Initial Budget Allocat FTE'!BD$121</f>
        <v>2</v>
      </c>
      <c r="BE90" s="115">
        <f>'[8]FY20 Initial Budget Allocat (2)'!BE90/'FY20 Initial Budget Allocat FTE'!BE$121</f>
        <v>0</v>
      </c>
      <c r="BF90" s="115">
        <f>'[8]FY20 Initial Budget Allocat (2)'!BF90/'FY20 Initial Budget Allocat FTE'!BF$121</f>
        <v>0</v>
      </c>
      <c r="BG90" s="115">
        <f>'[8]FY20 Initial Budget Allocat (2)'!BG90/'FY20 Initial Budget Allocat FTE'!BG$121</f>
        <v>0</v>
      </c>
      <c r="BH90" s="115">
        <f>'[8]FY20 Initial Budget Allocat (2)'!BH90/'FY20 Initial Budget Allocat FTE'!BH$121</f>
        <v>0</v>
      </c>
      <c r="BI90" s="115">
        <f>'[8]FY20 Initial Budget Allocat (2)'!BI90/'FY20 Initial Budget Allocat FTE'!BI$121</f>
        <v>0</v>
      </c>
      <c r="BJ90" s="79"/>
      <c r="BK90" s="79">
        <v>0</v>
      </c>
      <c r="BL90" s="79"/>
      <c r="BM90" s="79">
        <v>0</v>
      </c>
      <c r="BN90" s="79">
        <v>0</v>
      </c>
      <c r="BO90" s="79">
        <v>4350</v>
      </c>
      <c r="BP90" s="115">
        <f>'[8]FY20 Initial Budget Allocat (2)'!BP90/'FY20 Initial Budget Allocat FTE'!BP$121</f>
        <v>0</v>
      </c>
      <c r="BQ90" s="115">
        <f>'[8]FY20 Initial Budget Allocat (2)'!BQ90/'FY20 Initial Budget Allocat FTE'!BQ$121</f>
        <v>0</v>
      </c>
      <c r="BR90" s="115">
        <f>'[8]FY20 Initial Budget Allocat (2)'!BR90/'FY20 Initial Budget Allocat FTE'!BR$121</f>
        <v>0</v>
      </c>
      <c r="BS90" s="115">
        <f>'[8]FY20 Initial Budget Allocat (2)'!BS90/'FY20 Initial Budget Allocat FTE'!BS$121</f>
        <v>0</v>
      </c>
      <c r="BT90" s="115">
        <f>'[8]FY20 Initial Budget Allocat (2)'!BT90/'FY20 Initial Budget Allocat FTE'!BT$121</f>
        <v>0</v>
      </c>
      <c r="BU90" s="115">
        <f>'[8]FY20 Initial Budget Allocat (2)'!BU90/'FY20 Initial Budget Allocat FTE'!BU$121</f>
        <v>0</v>
      </c>
      <c r="BV90" s="115">
        <f>'[8]FY20 Initial Budget Allocat (2)'!BV90/'FY20 Initial Budget Allocat FTE'!BV$121</f>
        <v>0</v>
      </c>
      <c r="BW90" s="80">
        <v>0</v>
      </c>
      <c r="BX90" s="80">
        <v>0</v>
      </c>
      <c r="BY90" s="80">
        <v>0</v>
      </c>
      <c r="BZ90" s="80">
        <v>0</v>
      </c>
      <c r="CA90" s="115">
        <f>'[8]FY20 Initial Budget Allocat (2)'!CA90/'FY20 Initial Budget Allocat FTE'!CA$121</f>
        <v>0</v>
      </c>
      <c r="CB90" s="115">
        <f>'[8]FY20 Initial Budget Allocat (2)'!CB90/'FY20 Initial Budget Allocat FTE'!CB$121</f>
        <v>0</v>
      </c>
      <c r="CC90" s="80">
        <v>0</v>
      </c>
      <c r="CD90" s="115">
        <f>'[8]FY20 Initial Budget Allocat (2)'!CD90/'FY20 Initial Budget Allocat FTE'!CD$121</f>
        <v>0</v>
      </c>
      <c r="CE90" s="115">
        <f>'[8]FY20 Initial Budget Allocat (2)'!CE90/'FY20 Initial Budget Allocat FTE'!CE$121</f>
        <v>0</v>
      </c>
      <c r="CF90" s="115">
        <f>'[8]FY20 Initial Budget Allocat (2)'!CF90/'FY20 Initial Budget Allocat FTE'!CF$121</f>
        <v>0</v>
      </c>
      <c r="CG90" s="115">
        <f>'[8]FY20 Initial Budget Allocat (2)'!CG90/'FY20 Initial Budget Allocat FTE'!CG$121</f>
        <v>0</v>
      </c>
      <c r="CH90" s="115">
        <f>'[8]FY20 Initial Budget Allocat (2)'!CH90/'FY20 Initial Budget Allocat FTE'!CH$121</f>
        <v>0</v>
      </c>
      <c r="CI90" s="115">
        <f>'[8]FY20 Initial Budget Allocat (2)'!CI90/'FY20 Initial Budget Allocat FTE'!CI$121</f>
        <v>0</v>
      </c>
      <c r="CJ90" s="115">
        <f>'[8]FY20 Initial Budget Allocat (2)'!CJ90/'FY20 Initial Budget Allocat FTE'!CJ$121</f>
        <v>0</v>
      </c>
      <c r="CK90" s="79">
        <v>0</v>
      </c>
      <c r="CL90" s="79">
        <v>0</v>
      </c>
      <c r="CM90" s="79">
        <v>54082.8</v>
      </c>
      <c r="CN90" s="79">
        <v>0</v>
      </c>
      <c r="CO90" s="115">
        <f>'[8]FY20 Initial Budget Allocat (2)'!CO90/'FY20 Initial Budget Allocat FTE'!CO$121</f>
        <v>0</v>
      </c>
      <c r="CP90" s="79">
        <v>0</v>
      </c>
      <c r="CQ90" s="79">
        <v>0</v>
      </c>
      <c r="CR90" s="79">
        <v>0</v>
      </c>
      <c r="CS90" s="79">
        <v>11119.318181818182</v>
      </c>
      <c r="CT90" s="115">
        <f>'[8]FY20 Initial Budget Allocat (2)'!CT90/'FY20 Initial Budget Allocat FTE'!CT$121</f>
        <v>0</v>
      </c>
      <c r="CU90" s="115">
        <f>'[8]FY20 Initial Budget Allocat (2)'!CU90/'FY20 Initial Budget Allocat FTE'!CU$121</f>
        <v>0</v>
      </c>
      <c r="CV90" s="79"/>
      <c r="CW90" s="79">
        <v>0</v>
      </c>
      <c r="CX90" s="115">
        <f>'[8]FY20 Initial Budget Allocat (2)'!CX90/'FY20 Initial Budget Allocat FTE'!CX$121</f>
        <v>0</v>
      </c>
      <c r="CY90" s="79">
        <v>0</v>
      </c>
      <c r="CZ90" s="79">
        <v>0</v>
      </c>
      <c r="DA90" s="79">
        <v>18100</v>
      </c>
      <c r="DB90" s="79">
        <v>44859.429324972472</v>
      </c>
      <c r="DC90" s="82">
        <v>0</v>
      </c>
      <c r="DD90" s="79">
        <v>0</v>
      </c>
      <c r="DE90" s="79"/>
      <c r="DF90" s="79">
        <v>150</v>
      </c>
      <c r="DG90" s="79">
        <v>0</v>
      </c>
      <c r="DH90" s="83">
        <v>0</v>
      </c>
      <c r="DI90" s="79">
        <v>16126.859146848701</v>
      </c>
      <c r="DJ90" s="79">
        <v>2918961.5055796155</v>
      </c>
      <c r="DK90" s="84">
        <v>4.4203842990100384E-3</v>
      </c>
      <c r="DL90" s="84">
        <v>0</v>
      </c>
      <c r="DM90" s="84">
        <f t="shared" si="6"/>
        <v>2918961.51</v>
      </c>
      <c r="DN90" s="116">
        <f t="shared" si="7"/>
        <v>3</v>
      </c>
      <c r="DO90" s="116">
        <f t="shared" si="8"/>
        <v>3</v>
      </c>
      <c r="DP90" s="116">
        <f t="shared" si="9"/>
        <v>8</v>
      </c>
      <c r="DQ90" s="116">
        <f t="shared" si="10"/>
        <v>4</v>
      </c>
      <c r="DR90" s="116">
        <f t="shared" si="11"/>
        <v>0</v>
      </c>
    </row>
    <row r="91" spans="1:122" x14ac:dyDescent="0.25">
      <c r="A91" s="76">
        <v>307</v>
      </c>
      <c r="B91" s="76" t="s">
        <v>231</v>
      </c>
      <c r="C91" s="77" t="s">
        <v>135</v>
      </c>
      <c r="D91" s="41">
        <v>8</v>
      </c>
      <c r="E91" s="78">
        <v>261</v>
      </c>
      <c r="F91" s="78">
        <v>234</v>
      </c>
      <c r="G91" s="115">
        <f>'[8]FY20 Initial Budget Allocat (2)'!G91/'FY20 Initial Budget Allocat FTE'!G$121</f>
        <v>1</v>
      </c>
      <c r="H91" s="115">
        <f>'[8]FY20 Initial Budget Allocat (2)'!H91/'FY20 Initial Budget Allocat FTE'!H$121</f>
        <v>1</v>
      </c>
      <c r="I91" s="115">
        <f>'[8]FY20 Initial Budget Allocat (2)'!I91/'FY20 Initial Budget Allocat FTE'!I$121</f>
        <v>0</v>
      </c>
      <c r="J91" s="115">
        <f>'[8]FY20 Initial Budget Allocat (2)'!J91/'FY20 Initial Budget Allocat FTE'!J$121</f>
        <v>0</v>
      </c>
      <c r="K91" s="115">
        <f>'[8]FY20 Initial Budget Allocat (2)'!K91/'FY20 Initial Budget Allocat FTE'!K$121</f>
        <v>0</v>
      </c>
      <c r="L91" s="115">
        <f>'[8]FY20 Initial Budget Allocat (2)'!L91/'FY20 Initial Budget Allocat FTE'!L$121</f>
        <v>0.5</v>
      </c>
      <c r="M91" s="115">
        <f>'[8]FY20 Initial Budget Allocat (2)'!M91/'FY20 Initial Budget Allocat FTE'!M$121</f>
        <v>1</v>
      </c>
      <c r="N91" s="115">
        <f>'[8]FY20 Initial Budget Allocat (2)'!N91/'FY20 Initial Budget Allocat FTE'!N$121</f>
        <v>0</v>
      </c>
      <c r="O91" s="115">
        <f>'[8]FY20 Initial Budget Allocat (2)'!O91/'FY20 Initial Budget Allocat FTE'!O$121</f>
        <v>0</v>
      </c>
      <c r="P91" s="115">
        <f>'[8]FY20 Initial Budget Allocat (2)'!P91/'FY20 Initial Budget Allocat FTE'!P$121</f>
        <v>0</v>
      </c>
      <c r="Q91" s="115">
        <f>'[8]FY20 Initial Budget Allocat (2)'!Q91/'FY20 Initial Budget Allocat FTE'!Q$121</f>
        <v>0</v>
      </c>
      <c r="R91" s="115">
        <f>'[8]FY20 Initial Budget Allocat (2)'!R91/'FY20 Initial Budget Allocat FTE'!R$121</f>
        <v>1</v>
      </c>
      <c r="S91" s="115">
        <f>'[8]FY20 Initial Budget Allocat (2)'!S91/'FY20 Initial Budget Allocat FTE'!S$121</f>
        <v>1</v>
      </c>
      <c r="T91" s="115">
        <f>'[8]FY20 Initial Budget Allocat (2)'!T91/'FY20 Initial Budget Allocat FTE'!T$121</f>
        <v>1</v>
      </c>
      <c r="U91" s="115">
        <f>'[8]FY20 Initial Budget Allocat (2)'!U91/'FY20 Initial Budget Allocat FTE'!U$121</f>
        <v>0.5</v>
      </c>
      <c r="V91" s="115">
        <f>'[8]FY20 Initial Budget Allocat (2)'!V91/'FY20 Initial Budget Allocat FTE'!V$121</f>
        <v>1</v>
      </c>
      <c r="W91" s="115">
        <f>'[8]FY20 Initial Budget Allocat (2)'!W91/'FY20 Initial Budget Allocat FTE'!W$121</f>
        <v>1</v>
      </c>
      <c r="X91" s="115">
        <f>'[8]FY20 Initial Budget Allocat (2)'!X91/'FY20 Initial Budget Allocat FTE'!X$121</f>
        <v>1</v>
      </c>
      <c r="Y91" s="115">
        <f>'[8]FY20 Initial Budget Allocat (2)'!Y91/'FY20 Initial Budget Allocat FTE'!Y$121</f>
        <v>0</v>
      </c>
      <c r="Z91" s="115">
        <f>'[8]FY20 Initial Budget Allocat (2)'!Z91/'FY20 Initial Budget Allocat FTE'!Z$121</f>
        <v>0</v>
      </c>
      <c r="AA91" s="115">
        <f>'[8]FY20 Initial Budget Allocat (2)'!AA91/'FY20 Initial Budget Allocat FTE'!AA$121</f>
        <v>2</v>
      </c>
      <c r="AB91" s="115">
        <f>'[8]FY20 Initial Budget Allocat (2)'!AB91/'FY20 Initial Budget Allocat FTE'!AB$121</f>
        <v>2</v>
      </c>
      <c r="AC91" s="115">
        <f>'[8]FY20 Initial Budget Allocat (2)'!AC91/'FY20 Initial Budget Allocat FTE'!AC$121</f>
        <v>0</v>
      </c>
      <c r="AD91" s="115">
        <f>'[8]FY20 Initial Budget Allocat (2)'!AD91/'FY20 Initial Budget Allocat FTE'!AD$121</f>
        <v>0</v>
      </c>
      <c r="AE91" s="115">
        <f>'[8]FY20 Initial Budget Allocat (2)'!AE91/'FY20 Initial Budget Allocat FTE'!AE$121</f>
        <v>2</v>
      </c>
      <c r="AF91" s="115">
        <f>'[8]FY20 Initial Budget Allocat (2)'!AF91/'FY20 Initial Budget Allocat FTE'!AF$121</f>
        <v>2</v>
      </c>
      <c r="AG91" s="115">
        <f>'[8]FY20 Initial Budget Allocat (2)'!AG91/'FY20 Initial Budget Allocat FTE'!AG$121</f>
        <v>2</v>
      </c>
      <c r="AH91" s="115">
        <f>'[8]FY20 Initial Budget Allocat (2)'!AH91/'FY20 Initial Budget Allocat FTE'!AH$121</f>
        <v>2</v>
      </c>
      <c r="AI91" s="115">
        <f>'[8]FY20 Initial Budget Allocat (2)'!AI91/'FY20 Initial Budget Allocat FTE'!AI$121</f>
        <v>2</v>
      </c>
      <c r="AJ91" s="115">
        <f>'[8]FY20 Initial Budget Allocat (2)'!AJ91/'FY20 Initial Budget Allocat FTE'!AJ$121</f>
        <v>2</v>
      </c>
      <c r="AK91" s="115">
        <f>'[8]FY20 Initial Budget Allocat (2)'!AK91/'FY20 Initial Budget Allocat FTE'!AK$121</f>
        <v>2</v>
      </c>
      <c r="AL91" s="115">
        <f>'[8]FY20 Initial Budget Allocat (2)'!AL91/'FY20 Initial Budget Allocat FTE'!AL$121</f>
        <v>2</v>
      </c>
      <c r="AM91" s="115">
        <f>'[8]FY20 Initial Budget Allocat (2)'!AM91/'FY20 Initial Budget Allocat FTE'!AM$121</f>
        <v>1</v>
      </c>
      <c r="AN91" s="115">
        <f>'[8]FY20 Initial Budget Allocat (2)'!AN91/'FY20 Initial Budget Allocat FTE'!AN$121</f>
        <v>0</v>
      </c>
      <c r="AO91" s="115">
        <f>'[8]FY20 Initial Budget Allocat (2)'!AO91/'FY20 Initial Budget Allocat FTE'!AO$121</f>
        <v>0</v>
      </c>
      <c r="AP91" s="115">
        <f>'[8]FY20 Initial Budget Allocat (2)'!AP91/'FY20 Initial Budget Allocat FTE'!AP$121</f>
        <v>0</v>
      </c>
      <c r="AQ91" s="115">
        <f>'[8]FY20 Initial Budget Allocat (2)'!AQ91/'FY20 Initial Budget Allocat FTE'!AQ$121</f>
        <v>0</v>
      </c>
      <c r="AR91" s="115">
        <f>'[8]FY20 Initial Budget Allocat (2)'!AR91/'FY20 Initial Budget Allocat FTE'!AR$121</f>
        <v>0</v>
      </c>
      <c r="AS91" s="115">
        <f>'[8]FY20 Initial Budget Allocat (2)'!AS91/'FY20 Initial Budget Allocat FTE'!AS$121</f>
        <v>0</v>
      </c>
      <c r="AT91" s="115">
        <f>'[8]FY20 Initial Budget Allocat (2)'!AT91/'FY20 Initial Budget Allocat FTE'!AT$121</f>
        <v>0</v>
      </c>
      <c r="AU91" s="115">
        <f>'[8]FY20 Initial Budget Allocat (2)'!AU91/'FY20 Initial Budget Allocat FTE'!AU$121</f>
        <v>0</v>
      </c>
      <c r="AV91" s="115">
        <f>'[8]FY20 Initial Budget Allocat (2)'!AV91/'FY20 Initial Budget Allocat FTE'!AV$121</f>
        <v>0</v>
      </c>
      <c r="AW91" s="115">
        <f>'[8]FY20 Initial Budget Allocat (2)'!AW91/'FY20 Initial Budget Allocat FTE'!AW$121</f>
        <v>0</v>
      </c>
      <c r="AX91" s="115">
        <f>'[8]FY20 Initial Budget Allocat (2)'!AX91/'FY20 Initial Budget Allocat FTE'!AX$121</f>
        <v>0.5</v>
      </c>
      <c r="AY91" s="115">
        <f>'[8]FY20 Initial Budget Allocat (2)'!AY91/'FY20 Initial Budget Allocat FTE'!AY$121</f>
        <v>1</v>
      </c>
      <c r="AZ91" s="115">
        <f>'[8]FY20 Initial Budget Allocat (2)'!AZ91/'FY20 Initial Budget Allocat FTE'!AZ$121</f>
        <v>3.0000000000000004</v>
      </c>
      <c r="BA91" s="115">
        <f>'[8]FY20 Initial Budget Allocat (2)'!BA91/'FY20 Initial Budget Allocat FTE'!BA$121</f>
        <v>0</v>
      </c>
      <c r="BB91" s="115">
        <f>'[8]FY20 Initial Budget Allocat (2)'!BB91/'FY20 Initial Budget Allocat FTE'!BB$121</f>
        <v>0</v>
      </c>
      <c r="BC91" s="115">
        <f>'[8]FY20 Initial Budget Allocat (2)'!BC91/'FY20 Initial Budget Allocat FTE'!BC$121</f>
        <v>0</v>
      </c>
      <c r="BD91" s="115">
        <f>'[8]FY20 Initial Budget Allocat (2)'!BD91/'FY20 Initial Budget Allocat FTE'!BD$121</f>
        <v>9.0909090909090912E-2</v>
      </c>
      <c r="BE91" s="115">
        <f>'[8]FY20 Initial Budget Allocat (2)'!BE91/'FY20 Initial Budget Allocat FTE'!BE$121</f>
        <v>0</v>
      </c>
      <c r="BF91" s="115">
        <f>'[8]FY20 Initial Budget Allocat (2)'!BF91/'FY20 Initial Budget Allocat FTE'!BF$121</f>
        <v>0</v>
      </c>
      <c r="BG91" s="115">
        <f>'[8]FY20 Initial Budget Allocat (2)'!BG91/'FY20 Initial Budget Allocat FTE'!BG$121</f>
        <v>1.062629468760441</v>
      </c>
      <c r="BH91" s="115">
        <f>'[8]FY20 Initial Budget Allocat (2)'!BH91/'FY20 Initial Budget Allocat FTE'!BH$121</f>
        <v>3</v>
      </c>
      <c r="BI91" s="115">
        <f>'[8]FY20 Initial Budget Allocat (2)'!BI91/'FY20 Initial Budget Allocat FTE'!BI$121</f>
        <v>1</v>
      </c>
      <c r="BJ91" s="79"/>
      <c r="BK91" s="79">
        <v>0</v>
      </c>
      <c r="BL91" s="79">
        <v>11597.1</v>
      </c>
      <c r="BM91" s="79">
        <v>126928.9</v>
      </c>
      <c r="BN91" s="79">
        <v>2019.77</v>
      </c>
      <c r="BO91" s="79">
        <v>0</v>
      </c>
      <c r="BP91" s="115">
        <f>'[8]FY20 Initial Budget Allocat (2)'!BP91/'FY20 Initial Budget Allocat FTE'!BP$121</f>
        <v>0</v>
      </c>
      <c r="BQ91" s="115">
        <f>'[8]FY20 Initial Budget Allocat (2)'!BQ91/'FY20 Initial Budget Allocat FTE'!BQ$121</f>
        <v>0</v>
      </c>
      <c r="BR91" s="115">
        <f>'[8]FY20 Initial Budget Allocat (2)'!BR91/'FY20 Initial Budget Allocat FTE'!BR$121</f>
        <v>0</v>
      </c>
      <c r="BS91" s="115">
        <f>'[8]FY20 Initial Budget Allocat (2)'!BS91/'FY20 Initial Budget Allocat FTE'!BS$121</f>
        <v>0</v>
      </c>
      <c r="BT91" s="115">
        <f>'[8]FY20 Initial Budget Allocat (2)'!BT91/'FY20 Initial Budget Allocat FTE'!BT$121</f>
        <v>0</v>
      </c>
      <c r="BU91" s="115">
        <f>'[8]FY20 Initial Budget Allocat (2)'!BU91/'FY20 Initial Budget Allocat FTE'!BU$121</f>
        <v>0</v>
      </c>
      <c r="BV91" s="115">
        <f>'[8]FY20 Initial Budget Allocat (2)'!BV91/'FY20 Initial Budget Allocat FTE'!BV$121</f>
        <v>0</v>
      </c>
      <c r="BW91" s="80">
        <v>0</v>
      </c>
      <c r="BX91" s="80">
        <v>0</v>
      </c>
      <c r="BY91" s="80">
        <v>0</v>
      </c>
      <c r="BZ91" s="80">
        <v>0</v>
      </c>
      <c r="CA91" s="115">
        <f>'[8]FY20 Initial Budget Allocat (2)'!CA91/'FY20 Initial Budget Allocat FTE'!CA$121</f>
        <v>0</v>
      </c>
      <c r="CB91" s="115">
        <f>'[8]FY20 Initial Budget Allocat (2)'!CB91/'FY20 Initial Budget Allocat FTE'!CB$121</f>
        <v>0</v>
      </c>
      <c r="CC91" s="80">
        <v>0</v>
      </c>
      <c r="CD91" s="115">
        <f>'[8]FY20 Initial Budget Allocat (2)'!CD91/'FY20 Initial Budget Allocat FTE'!CD$121</f>
        <v>0</v>
      </c>
      <c r="CE91" s="115">
        <f>'[8]FY20 Initial Budget Allocat (2)'!CE91/'FY20 Initial Budget Allocat FTE'!CE$121</f>
        <v>0</v>
      </c>
      <c r="CF91" s="115">
        <f>'[8]FY20 Initial Budget Allocat (2)'!CF91/'FY20 Initial Budget Allocat FTE'!CF$121</f>
        <v>0</v>
      </c>
      <c r="CG91" s="115">
        <f>'[8]FY20 Initial Budget Allocat (2)'!CG91/'FY20 Initial Budget Allocat FTE'!CG$121</f>
        <v>0</v>
      </c>
      <c r="CH91" s="115">
        <f>'[8]FY20 Initial Budget Allocat (2)'!CH91/'FY20 Initial Budget Allocat FTE'!CH$121</f>
        <v>0</v>
      </c>
      <c r="CI91" s="115">
        <f>'[8]FY20 Initial Budget Allocat (2)'!CI91/'FY20 Initial Budget Allocat FTE'!CI$121</f>
        <v>0</v>
      </c>
      <c r="CJ91" s="115">
        <f>'[8]FY20 Initial Budget Allocat (2)'!CJ91/'FY20 Initial Budget Allocat FTE'!CJ$121</f>
        <v>0</v>
      </c>
      <c r="CK91" s="79">
        <v>0</v>
      </c>
      <c r="CL91" s="79">
        <v>0</v>
      </c>
      <c r="CM91" s="79">
        <v>108165.6</v>
      </c>
      <c r="CN91" s="79">
        <v>0</v>
      </c>
      <c r="CO91" s="115">
        <f>'[8]FY20 Initial Budget Allocat (2)'!CO91/'FY20 Initial Budget Allocat FTE'!CO$121</f>
        <v>0</v>
      </c>
      <c r="CP91" s="79">
        <v>0</v>
      </c>
      <c r="CQ91" s="79">
        <v>9360</v>
      </c>
      <c r="CR91" s="79">
        <v>116280</v>
      </c>
      <c r="CS91" s="79">
        <v>15254.10465116279</v>
      </c>
      <c r="CT91" s="115">
        <f>'[8]FY20 Initial Budget Allocat (2)'!CT91/'FY20 Initial Budget Allocat FTE'!CT$121</f>
        <v>0</v>
      </c>
      <c r="CU91" s="115">
        <f>'[8]FY20 Initial Budget Allocat (2)'!CU91/'FY20 Initial Budget Allocat FTE'!CU$121</f>
        <v>0</v>
      </c>
      <c r="CV91" s="79"/>
      <c r="CW91" s="79">
        <v>0</v>
      </c>
      <c r="CX91" s="115">
        <f>'[8]FY20 Initial Budget Allocat (2)'!CX91/'FY20 Initial Budget Allocat FTE'!CX$121</f>
        <v>0</v>
      </c>
      <c r="CY91" s="79">
        <v>0</v>
      </c>
      <c r="CZ91" s="79">
        <v>0</v>
      </c>
      <c r="DA91" s="79">
        <v>26100</v>
      </c>
      <c r="DB91" s="79">
        <v>54701.477265553811</v>
      </c>
      <c r="DC91" s="82">
        <v>0</v>
      </c>
      <c r="DD91" s="79">
        <v>0</v>
      </c>
      <c r="DE91" s="79"/>
      <c r="DF91" s="79">
        <v>24000</v>
      </c>
      <c r="DG91" s="79">
        <v>0</v>
      </c>
      <c r="DH91" s="83">
        <v>311342.22089952586</v>
      </c>
      <c r="DI91" s="79">
        <v>15773.97454555944</v>
      </c>
      <c r="DJ91" s="79">
        <v>4117007.3563910136</v>
      </c>
      <c r="DK91" s="84">
        <v>3.6089862696826458E-3</v>
      </c>
      <c r="DL91" s="84">
        <v>111796.68</v>
      </c>
      <c r="DM91" s="84">
        <f t="shared" si="6"/>
        <v>4228804.04</v>
      </c>
      <c r="DN91" s="116">
        <f t="shared" si="7"/>
        <v>6</v>
      </c>
      <c r="DO91" s="116">
        <f t="shared" si="8"/>
        <v>6</v>
      </c>
      <c r="DP91" s="116">
        <f t="shared" si="9"/>
        <v>9</v>
      </c>
      <c r="DQ91" s="116">
        <f t="shared" si="10"/>
        <v>4.5909090909090908</v>
      </c>
      <c r="DR91" s="116">
        <f t="shared" si="11"/>
        <v>0</v>
      </c>
    </row>
    <row r="92" spans="1:122" ht="31.5" x14ac:dyDescent="0.25">
      <c r="A92" s="76">
        <v>409</v>
      </c>
      <c r="B92" s="76" t="s">
        <v>232</v>
      </c>
      <c r="C92" s="77" t="s">
        <v>150</v>
      </c>
      <c r="D92" s="41">
        <v>2</v>
      </c>
      <c r="E92" s="78">
        <v>495</v>
      </c>
      <c r="F92" s="78">
        <v>135.22648902821317</v>
      </c>
      <c r="G92" s="115">
        <f>'[8]FY20 Initial Budget Allocat (2)'!G92/'FY20 Initial Budget Allocat FTE'!G$121</f>
        <v>0.5</v>
      </c>
      <c r="H92" s="115">
        <f>'[8]FY20 Initial Budget Allocat (2)'!H92/'FY20 Initial Budget Allocat FTE'!H$121</f>
        <v>1</v>
      </c>
      <c r="I92" s="115">
        <f>'[8]FY20 Initial Budget Allocat (2)'!I92/'FY20 Initial Budget Allocat FTE'!I$121</f>
        <v>2.4</v>
      </c>
      <c r="J92" s="115">
        <f>'[8]FY20 Initial Budget Allocat (2)'!J92/'FY20 Initial Budget Allocat FTE'!J$121</f>
        <v>1</v>
      </c>
      <c r="K92" s="115">
        <f>'[8]FY20 Initial Budget Allocat (2)'!K92/'FY20 Initial Budget Allocat FTE'!K$121</f>
        <v>0</v>
      </c>
      <c r="L92" s="115">
        <f>'[8]FY20 Initial Budget Allocat (2)'!L92/'FY20 Initial Budget Allocat FTE'!L$121</f>
        <v>1</v>
      </c>
      <c r="M92" s="115">
        <f>'[8]FY20 Initial Budget Allocat (2)'!M92/'FY20 Initial Budget Allocat FTE'!M$121</f>
        <v>1</v>
      </c>
      <c r="N92" s="115">
        <f>'[8]FY20 Initial Budget Allocat (2)'!N92/'FY20 Initial Budget Allocat FTE'!N$121</f>
        <v>1.2</v>
      </c>
      <c r="O92" s="115">
        <f>'[8]FY20 Initial Budget Allocat (2)'!O92/'FY20 Initial Budget Allocat FTE'!O$121</f>
        <v>0</v>
      </c>
      <c r="P92" s="115">
        <f>'[8]FY20 Initial Budget Allocat (2)'!P92/'FY20 Initial Budget Allocat FTE'!P$121</f>
        <v>0</v>
      </c>
      <c r="Q92" s="115">
        <f>'[8]FY20 Initial Budget Allocat (2)'!Q92/'FY20 Initial Budget Allocat FTE'!Q$121</f>
        <v>0</v>
      </c>
      <c r="R92" s="115">
        <f>'[8]FY20 Initial Budget Allocat (2)'!R92/'FY20 Initial Budget Allocat FTE'!R$121</f>
        <v>1</v>
      </c>
      <c r="S92" s="115">
        <f>'[8]FY20 Initial Budget Allocat (2)'!S92/'FY20 Initial Budget Allocat FTE'!S$121</f>
        <v>1</v>
      </c>
      <c r="T92" s="115">
        <f>'[8]FY20 Initial Budget Allocat (2)'!T92/'FY20 Initial Budget Allocat FTE'!T$121</f>
        <v>2</v>
      </c>
      <c r="U92" s="115">
        <f>'[8]FY20 Initial Budget Allocat (2)'!U92/'FY20 Initial Budget Allocat FTE'!U$121</f>
        <v>1</v>
      </c>
      <c r="V92" s="115">
        <f>'[8]FY20 Initial Budget Allocat (2)'!V92/'FY20 Initial Budget Allocat FTE'!V$121</f>
        <v>1</v>
      </c>
      <c r="W92" s="115">
        <f>'[8]FY20 Initial Budget Allocat (2)'!W92/'FY20 Initial Budget Allocat FTE'!W$121</f>
        <v>1</v>
      </c>
      <c r="X92" s="115">
        <f>'[8]FY20 Initial Budget Allocat (2)'!X92/'FY20 Initial Budget Allocat FTE'!X$121</f>
        <v>1</v>
      </c>
      <c r="Y92" s="115">
        <f>'[8]FY20 Initial Budget Allocat (2)'!Y92/'FY20 Initial Budget Allocat FTE'!Y$121</f>
        <v>0</v>
      </c>
      <c r="Z92" s="115">
        <f>'[8]FY20 Initial Budget Allocat (2)'!Z92/'FY20 Initial Budget Allocat FTE'!Z$121</f>
        <v>0</v>
      </c>
      <c r="AA92" s="115">
        <f>'[8]FY20 Initial Budget Allocat (2)'!AA92/'FY20 Initial Budget Allocat FTE'!AA$121</f>
        <v>2</v>
      </c>
      <c r="AB92" s="115">
        <f>'[8]FY20 Initial Budget Allocat (2)'!AB92/'FY20 Initial Budget Allocat FTE'!AB$121</f>
        <v>2</v>
      </c>
      <c r="AC92" s="115">
        <f>'[8]FY20 Initial Budget Allocat (2)'!AC92/'FY20 Initial Budget Allocat FTE'!AC$121</f>
        <v>1</v>
      </c>
      <c r="AD92" s="115">
        <f>'[8]FY20 Initial Budget Allocat (2)'!AD92/'FY20 Initial Budget Allocat FTE'!AD$121</f>
        <v>1</v>
      </c>
      <c r="AE92" s="115">
        <f>'[8]FY20 Initial Budget Allocat (2)'!AE92/'FY20 Initial Budget Allocat FTE'!AE$121</f>
        <v>2</v>
      </c>
      <c r="AF92" s="115">
        <f>'[8]FY20 Initial Budget Allocat (2)'!AF92/'FY20 Initial Budget Allocat FTE'!AF$121</f>
        <v>2</v>
      </c>
      <c r="AG92" s="115">
        <f>'[8]FY20 Initial Budget Allocat (2)'!AG92/'FY20 Initial Budget Allocat FTE'!AG$121</f>
        <v>2</v>
      </c>
      <c r="AH92" s="115">
        <f>'[8]FY20 Initial Budget Allocat (2)'!AH92/'FY20 Initial Budget Allocat FTE'!AH$121</f>
        <v>2</v>
      </c>
      <c r="AI92" s="115">
        <f>'[8]FY20 Initial Budget Allocat (2)'!AI92/'FY20 Initial Budget Allocat FTE'!AI$121</f>
        <v>2</v>
      </c>
      <c r="AJ92" s="115">
        <f>'[8]FY20 Initial Budget Allocat (2)'!AJ92/'FY20 Initial Budget Allocat FTE'!AJ$121</f>
        <v>2</v>
      </c>
      <c r="AK92" s="115">
        <f>'[8]FY20 Initial Budget Allocat (2)'!AK92/'FY20 Initial Budget Allocat FTE'!AK$121</f>
        <v>2</v>
      </c>
      <c r="AL92" s="115">
        <f>'[8]FY20 Initial Budget Allocat (2)'!AL92/'FY20 Initial Budget Allocat FTE'!AL$121</f>
        <v>2</v>
      </c>
      <c r="AM92" s="115">
        <f>'[8]FY20 Initial Budget Allocat (2)'!AM92/'FY20 Initial Budget Allocat FTE'!AM$121</f>
        <v>2</v>
      </c>
      <c r="AN92" s="115">
        <f>'[8]FY20 Initial Budget Allocat (2)'!AN92/'FY20 Initial Budget Allocat FTE'!AN$121</f>
        <v>3.3</v>
      </c>
      <c r="AO92" s="115">
        <f>'[8]FY20 Initial Budget Allocat (2)'!AO92/'FY20 Initial Budget Allocat FTE'!AO$121</f>
        <v>2.8999999999999995</v>
      </c>
      <c r="AP92" s="115">
        <f>'[8]FY20 Initial Budget Allocat (2)'!AP92/'FY20 Initial Budget Allocat FTE'!AP$121</f>
        <v>2.2999999999999998</v>
      </c>
      <c r="AQ92" s="115">
        <f>'[8]FY20 Initial Budget Allocat (2)'!AQ92/'FY20 Initial Budget Allocat FTE'!AQ$121</f>
        <v>0</v>
      </c>
      <c r="AR92" s="115">
        <f>'[8]FY20 Initial Budget Allocat (2)'!AR92/'FY20 Initial Budget Allocat FTE'!AR$121</f>
        <v>0</v>
      </c>
      <c r="AS92" s="115">
        <f>'[8]FY20 Initial Budget Allocat (2)'!AS92/'FY20 Initial Budget Allocat FTE'!AS$121</f>
        <v>0</v>
      </c>
      <c r="AT92" s="115">
        <f>'[8]FY20 Initial Budget Allocat (2)'!AT92/'FY20 Initial Budget Allocat FTE'!AT$121</f>
        <v>0</v>
      </c>
      <c r="AU92" s="115">
        <f>'[8]FY20 Initial Budget Allocat (2)'!AU92/'FY20 Initial Budget Allocat FTE'!AU$121</f>
        <v>0</v>
      </c>
      <c r="AV92" s="115">
        <f>'[8]FY20 Initial Budget Allocat (2)'!AV92/'FY20 Initial Budget Allocat FTE'!AV$121</f>
        <v>0</v>
      </c>
      <c r="AW92" s="115">
        <f>'[8]FY20 Initial Budget Allocat (2)'!AW92/'FY20 Initial Budget Allocat FTE'!AW$121</f>
        <v>0</v>
      </c>
      <c r="AX92" s="115">
        <f>'[8]FY20 Initial Budget Allocat (2)'!AX92/'FY20 Initial Budget Allocat FTE'!AX$121</f>
        <v>0.5</v>
      </c>
      <c r="AY92" s="115">
        <f>'[8]FY20 Initial Budget Allocat (2)'!AY92/'FY20 Initial Budget Allocat FTE'!AY$121</f>
        <v>1</v>
      </c>
      <c r="AZ92" s="115">
        <f>'[8]FY20 Initial Budget Allocat (2)'!AZ92/'FY20 Initial Budget Allocat FTE'!AZ$121</f>
        <v>9</v>
      </c>
      <c r="BA92" s="115">
        <f>'[8]FY20 Initial Budget Allocat (2)'!BA92/'FY20 Initial Budget Allocat FTE'!BA$121</f>
        <v>5</v>
      </c>
      <c r="BB92" s="115">
        <f>'[8]FY20 Initial Budget Allocat (2)'!BB92/'FY20 Initial Budget Allocat FTE'!BB$121</f>
        <v>0</v>
      </c>
      <c r="BC92" s="115">
        <f>'[8]FY20 Initial Budget Allocat (2)'!BC92/'FY20 Initial Budget Allocat FTE'!BC$121</f>
        <v>1</v>
      </c>
      <c r="BD92" s="115">
        <f>'[8]FY20 Initial Budget Allocat (2)'!BD92/'FY20 Initial Budget Allocat FTE'!BD$121</f>
        <v>3.0000000000000004</v>
      </c>
      <c r="BE92" s="115">
        <f>'[8]FY20 Initial Budget Allocat (2)'!BE92/'FY20 Initial Budget Allocat FTE'!BE$121</f>
        <v>0</v>
      </c>
      <c r="BF92" s="115">
        <f>'[8]FY20 Initial Budget Allocat (2)'!BF92/'FY20 Initial Budget Allocat FTE'!BF$121</f>
        <v>0</v>
      </c>
      <c r="BG92" s="115">
        <f>'[8]FY20 Initial Budget Allocat (2)'!BG92/'FY20 Initial Budget Allocat FTE'!BG$121</f>
        <v>0</v>
      </c>
      <c r="BH92" s="115">
        <f>'[8]FY20 Initial Budget Allocat (2)'!BH92/'FY20 Initial Budget Allocat FTE'!BH$121</f>
        <v>0</v>
      </c>
      <c r="BI92" s="115">
        <f>'[8]FY20 Initial Budget Allocat (2)'!BI92/'FY20 Initial Budget Allocat FTE'!BI$121</f>
        <v>0</v>
      </c>
      <c r="BJ92" s="79"/>
      <c r="BK92" s="79">
        <v>0</v>
      </c>
      <c r="BL92" s="79"/>
      <c r="BM92" s="79">
        <v>0</v>
      </c>
      <c r="BN92" s="79">
        <v>0</v>
      </c>
      <c r="BO92" s="79">
        <v>11800</v>
      </c>
      <c r="BP92" s="115">
        <f>'[8]FY20 Initial Budget Allocat (2)'!BP92/'FY20 Initial Budget Allocat FTE'!BP$121</f>
        <v>0</v>
      </c>
      <c r="BQ92" s="115">
        <f>'[8]FY20 Initial Budget Allocat (2)'!BQ92/'FY20 Initial Budget Allocat FTE'!BQ$121</f>
        <v>0</v>
      </c>
      <c r="BR92" s="115">
        <f>'[8]FY20 Initial Budget Allocat (2)'!BR92/'FY20 Initial Budget Allocat FTE'!BR$121</f>
        <v>0</v>
      </c>
      <c r="BS92" s="115">
        <f>'[8]FY20 Initial Budget Allocat (2)'!BS92/'FY20 Initial Budget Allocat FTE'!BS$121</f>
        <v>0</v>
      </c>
      <c r="BT92" s="115">
        <f>'[8]FY20 Initial Budget Allocat (2)'!BT92/'FY20 Initial Budget Allocat FTE'!BT$121</f>
        <v>0</v>
      </c>
      <c r="BU92" s="115">
        <f>'[8]FY20 Initial Budget Allocat (2)'!BU92/'FY20 Initial Budget Allocat FTE'!BU$121</f>
        <v>0</v>
      </c>
      <c r="BV92" s="115">
        <f>'[8]FY20 Initial Budget Allocat (2)'!BV92/'FY20 Initial Budget Allocat FTE'!BV$121</f>
        <v>0</v>
      </c>
      <c r="BW92" s="80">
        <v>0</v>
      </c>
      <c r="BX92" s="80">
        <v>0</v>
      </c>
      <c r="BY92" s="80">
        <v>0</v>
      </c>
      <c r="BZ92" s="80">
        <v>0</v>
      </c>
      <c r="CA92" s="115">
        <f>'[8]FY20 Initial Budget Allocat (2)'!CA92/'FY20 Initial Budget Allocat FTE'!CA$121</f>
        <v>0</v>
      </c>
      <c r="CB92" s="115">
        <f>'[8]FY20 Initial Budget Allocat (2)'!CB92/'FY20 Initial Budget Allocat FTE'!CB$121</f>
        <v>0</v>
      </c>
      <c r="CC92" s="80">
        <v>0</v>
      </c>
      <c r="CD92" s="115">
        <f>'[8]FY20 Initial Budget Allocat (2)'!CD92/'FY20 Initial Budget Allocat FTE'!CD$121</f>
        <v>0</v>
      </c>
      <c r="CE92" s="115">
        <f>'[8]FY20 Initial Budget Allocat (2)'!CE92/'FY20 Initial Budget Allocat FTE'!CE$121</f>
        <v>0</v>
      </c>
      <c r="CF92" s="115">
        <f>'[8]FY20 Initial Budget Allocat (2)'!CF92/'FY20 Initial Budget Allocat FTE'!CF$121</f>
        <v>0</v>
      </c>
      <c r="CG92" s="115">
        <f>'[8]FY20 Initial Budget Allocat (2)'!CG92/'FY20 Initial Budget Allocat FTE'!CG$121</f>
        <v>0</v>
      </c>
      <c r="CH92" s="115">
        <f>'[8]FY20 Initial Budget Allocat (2)'!CH92/'FY20 Initial Budget Allocat FTE'!CH$121</f>
        <v>0</v>
      </c>
      <c r="CI92" s="115">
        <f>'[8]FY20 Initial Budget Allocat (2)'!CI92/'FY20 Initial Budget Allocat FTE'!CI$121</f>
        <v>2</v>
      </c>
      <c r="CJ92" s="115">
        <f>'[8]FY20 Initial Budget Allocat (2)'!CJ92/'FY20 Initial Budget Allocat FTE'!CJ$121</f>
        <v>0</v>
      </c>
      <c r="CK92" s="79">
        <v>23000</v>
      </c>
      <c r="CL92" s="79">
        <v>5000</v>
      </c>
      <c r="CM92" s="79">
        <v>108165.6</v>
      </c>
      <c r="CN92" s="79">
        <v>100000</v>
      </c>
      <c r="CO92" s="115">
        <f>'[8]FY20 Initial Budget Allocat (2)'!CO92/'FY20 Initial Budget Allocat FTE'!CO$121</f>
        <v>0</v>
      </c>
      <c r="CP92" s="79">
        <v>0</v>
      </c>
      <c r="CQ92" s="79">
        <v>2704.5297805642631</v>
      </c>
      <c r="CR92" s="79">
        <v>0</v>
      </c>
      <c r="CS92" s="79">
        <v>31955.798398169336</v>
      </c>
      <c r="CT92" s="115">
        <f>'[8]FY20 Initial Budget Allocat (2)'!CT92/'FY20 Initial Budget Allocat FTE'!CT$121</f>
        <v>0</v>
      </c>
      <c r="CU92" s="115">
        <f>'[8]FY20 Initial Budget Allocat (2)'!CU92/'FY20 Initial Budget Allocat FTE'!CU$121</f>
        <v>0</v>
      </c>
      <c r="CV92" s="79"/>
      <c r="CW92" s="79">
        <v>0</v>
      </c>
      <c r="CX92" s="115">
        <f>'[8]FY20 Initial Budget Allocat (2)'!CX92/'FY20 Initial Budget Allocat FTE'!CX$121</f>
        <v>0</v>
      </c>
      <c r="CY92" s="79">
        <v>0</v>
      </c>
      <c r="CZ92" s="79">
        <v>0</v>
      </c>
      <c r="DA92" s="79">
        <v>49500</v>
      </c>
      <c r="DB92" s="79">
        <v>106039.81111223521</v>
      </c>
      <c r="DC92" s="82">
        <v>0</v>
      </c>
      <c r="DD92" s="79">
        <v>0</v>
      </c>
      <c r="DE92" s="79"/>
      <c r="DF92" s="79">
        <v>20500</v>
      </c>
      <c r="DG92" s="79">
        <v>0</v>
      </c>
      <c r="DH92" s="83">
        <v>0</v>
      </c>
      <c r="DI92" s="79">
        <v>14030.281638097724</v>
      </c>
      <c r="DJ92" s="79">
        <v>6944989.4108583741</v>
      </c>
      <c r="DK92" s="84">
        <v>255010.58914162591</v>
      </c>
      <c r="DL92" s="84">
        <v>0</v>
      </c>
      <c r="DM92" s="84">
        <f t="shared" si="6"/>
        <v>7200000</v>
      </c>
      <c r="DN92" s="116">
        <f t="shared" si="7"/>
        <v>7</v>
      </c>
      <c r="DO92" s="116">
        <f t="shared" si="8"/>
        <v>7</v>
      </c>
      <c r="DP92" s="116">
        <f t="shared" si="9"/>
        <v>18.5</v>
      </c>
      <c r="DQ92" s="116">
        <f t="shared" si="10"/>
        <v>13.5</v>
      </c>
      <c r="DR92" s="116">
        <f t="shared" si="11"/>
        <v>5</v>
      </c>
    </row>
    <row r="93" spans="1:122" x14ac:dyDescent="0.25">
      <c r="A93" s="76">
        <v>466</v>
      </c>
      <c r="B93" s="76" t="s">
        <v>233</v>
      </c>
      <c r="C93" s="77" t="s">
        <v>138</v>
      </c>
      <c r="D93" s="41">
        <v>2</v>
      </c>
      <c r="E93" s="78">
        <v>601</v>
      </c>
      <c r="F93" s="78">
        <v>106.73504273504274</v>
      </c>
      <c r="G93" s="115">
        <f>'[8]FY20 Initial Budget Allocat (2)'!G93/'FY20 Initial Budget Allocat FTE'!G$121</f>
        <v>0.5</v>
      </c>
      <c r="H93" s="115">
        <f>'[8]FY20 Initial Budget Allocat (2)'!H93/'FY20 Initial Budget Allocat FTE'!H$121</f>
        <v>1</v>
      </c>
      <c r="I93" s="115">
        <f>'[8]FY20 Initial Budget Allocat (2)'!I93/'FY20 Initial Budget Allocat FTE'!I$121</f>
        <v>2</v>
      </c>
      <c r="J93" s="115">
        <f>'[8]FY20 Initial Budget Allocat (2)'!J93/'FY20 Initial Budget Allocat FTE'!J$121</f>
        <v>0</v>
      </c>
      <c r="K93" s="115">
        <f>'[8]FY20 Initial Budget Allocat (2)'!K93/'FY20 Initial Budget Allocat FTE'!K$121</f>
        <v>2.4999914336021911</v>
      </c>
      <c r="L93" s="115">
        <f>'[8]FY20 Initial Budget Allocat (2)'!L93/'FY20 Initial Budget Allocat FTE'!L$121</f>
        <v>1</v>
      </c>
      <c r="M93" s="115">
        <f>'[8]FY20 Initial Budget Allocat (2)'!M93/'FY20 Initial Budget Allocat FTE'!M$121</f>
        <v>1</v>
      </c>
      <c r="N93" s="115">
        <f>'[8]FY20 Initial Budget Allocat (2)'!N93/'FY20 Initial Budget Allocat FTE'!N$121</f>
        <v>1.5000000000000002</v>
      </c>
      <c r="O93" s="115">
        <f>'[8]FY20 Initial Budget Allocat (2)'!O93/'FY20 Initial Budget Allocat FTE'!O$121</f>
        <v>1</v>
      </c>
      <c r="P93" s="115">
        <f>'[8]FY20 Initial Budget Allocat (2)'!P93/'FY20 Initial Budget Allocat FTE'!P$121</f>
        <v>1</v>
      </c>
      <c r="Q93" s="115">
        <f>'[8]FY20 Initial Budget Allocat (2)'!Q93/'FY20 Initial Budget Allocat FTE'!Q$121</f>
        <v>0</v>
      </c>
      <c r="R93" s="115">
        <f>'[8]FY20 Initial Budget Allocat (2)'!R93/'FY20 Initial Budget Allocat FTE'!R$121</f>
        <v>1</v>
      </c>
      <c r="S93" s="115">
        <f>'[8]FY20 Initial Budget Allocat (2)'!S93/'FY20 Initial Budget Allocat FTE'!S$121</f>
        <v>1</v>
      </c>
      <c r="T93" s="115">
        <f>'[8]FY20 Initial Budget Allocat (2)'!T93/'FY20 Initial Budget Allocat FTE'!T$121</f>
        <v>3</v>
      </c>
      <c r="U93" s="115">
        <f>'[8]FY20 Initial Budget Allocat (2)'!U93/'FY20 Initial Budget Allocat FTE'!U$121</f>
        <v>1</v>
      </c>
      <c r="V93" s="115">
        <f>'[8]FY20 Initial Budget Allocat (2)'!V93/'FY20 Initial Budget Allocat FTE'!V$121</f>
        <v>0</v>
      </c>
      <c r="W93" s="115">
        <f>'[8]FY20 Initial Budget Allocat (2)'!W93/'FY20 Initial Budget Allocat FTE'!W$121</f>
        <v>0</v>
      </c>
      <c r="X93" s="115">
        <f>'[8]FY20 Initial Budget Allocat (2)'!X93/'FY20 Initial Budget Allocat FTE'!X$121</f>
        <v>0</v>
      </c>
      <c r="Y93" s="115">
        <f>'[8]FY20 Initial Budget Allocat (2)'!Y93/'FY20 Initial Budget Allocat FTE'!Y$121</f>
        <v>0</v>
      </c>
      <c r="Z93" s="115">
        <f>'[8]FY20 Initial Budget Allocat (2)'!Z93/'FY20 Initial Budget Allocat FTE'!Z$121</f>
        <v>0</v>
      </c>
      <c r="AA93" s="115">
        <f>'[8]FY20 Initial Budget Allocat (2)'!AA93/'FY20 Initial Budget Allocat FTE'!AA$121</f>
        <v>0</v>
      </c>
      <c r="AB93" s="115">
        <f>'[8]FY20 Initial Budget Allocat (2)'!AB93/'FY20 Initial Budget Allocat FTE'!AB$121</f>
        <v>0</v>
      </c>
      <c r="AC93" s="115">
        <f>'[8]FY20 Initial Budget Allocat (2)'!AC93/'FY20 Initial Budget Allocat FTE'!AC$121</f>
        <v>0</v>
      </c>
      <c r="AD93" s="115">
        <f>'[8]FY20 Initial Budget Allocat (2)'!AD93/'FY20 Initial Budget Allocat FTE'!AD$121</f>
        <v>0</v>
      </c>
      <c r="AE93" s="115">
        <f>'[8]FY20 Initial Budget Allocat (2)'!AE93/'FY20 Initial Budget Allocat FTE'!AE$121</f>
        <v>0</v>
      </c>
      <c r="AF93" s="115">
        <f>'[8]FY20 Initial Budget Allocat (2)'!AF93/'FY20 Initial Budget Allocat FTE'!AF$121</f>
        <v>0</v>
      </c>
      <c r="AG93" s="115">
        <f>'[8]FY20 Initial Budget Allocat (2)'!AG93/'FY20 Initial Budget Allocat FTE'!AG$121</f>
        <v>0</v>
      </c>
      <c r="AH93" s="115">
        <f>'[8]FY20 Initial Budget Allocat (2)'!AH93/'FY20 Initial Budget Allocat FTE'!AH$121</f>
        <v>0</v>
      </c>
      <c r="AI93" s="115">
        <f>'[8]FY20 Initial Budget Allocat (2)'!AI93/'FY20 Initial Budget Allocat FTE'!AI$121</f>
        <v>0</v>
      </c>
      <c r="AJ93" s="115">
        <f>'[8]FY20 Initial Budget Allocat (2)'!AJ93/'FY20 Initial Budget Allocat FTE'!AJ$121</f>
        <v>0</v>
      </c>
      <c r="AK93" s="115">
        <f>'[8]FY20 Initial Budget Allocat (2)'!AK93/'FY20 Initial Budget Allocat FTE'!AK$121</f>
        <v>0</v>
      </c>
      <c r="AL93" s="115">
        <f>'[8]FY20 Initial Budget Allocat (2)'!AL93/'FY20 Initial Budget Allocat FTE'!AL$121</f>
        <v>0</v>
      </c>
      <c r="AM93" s="115">
        <f>'[8]FY20 Initial Budget Allocat (2)'!AM93/'FY20 Initial Budget Allocat FTE'!AM$121</f>
        <v>0</v>
      </c>
      <c r="AN93" s="115">
        <f>'[8]FY20 Initial Budget Allocat (2)'!AN93/'FY20 Initial Budget Allocat FTE'!AN$121</f>
        <v>0</v>
      </c>
      <c r="AO93" s="115">
        <f>'[8]FY20 Initial Budget Allocat (2)'!AO93/'FY20 Initial Budget Allocat FTE'!AO$121</f>
        <v>0</v>
      </c>
      <c r="AP93" s="115">
        <f>'[8]FY20 Initial Budget Allocat (2)'!AP93/'FY20 Initial Budget Allocat FTE'!AP$121</f>
        <v>0</v>
      </c>
      <c r="AQ93" s="115">
        <f>'[8]FY20 Initial Budget Allocat (2)'!AQ93/'FY20 Initial Budget Allocat FTE'!AQ$121</f>
        <v>6.5</v>
      </c>
      <c r="AR93" s="115">
        <f>'[8]FY20 Initial Budget Allocat (2)'!AR93/'FY20 Initial Budget Allocat FTE'!AR$121</f>
        <v>6.0000000000000009</v>
      </c>
      <c r="AS93" s="115">
        <f>'[8]FY20 Initial Budget Allocat (2)'!AS93/'FY20 Initial Budget Allocat FTE'!AS$121</f>
        <v>6.3</v>
      </c>
      <c r="AT93" s="115">
        <f>'[8]FY20 Initial Budget Allocat (2)'!AT93/'FY20 Initial Budget Allocat FTE'!AT$121</f>
        <v>6.4000000000000012</v>
      </c>
      <c r="AU93" s="115">
        <f>'[8]FY20 Initial Budget Allocat (2)'!AU93/'FY20 Initial Budget Allocat FTE'!AU$121</f>
        <v>0</v>
      </c>
      <c r="AV93" s="115">
        <f>'[8]FY20 Initial Budget Allocat (2)'!AV93/'FY20 Initial Budget Allocat FTE'!AV$121</f>
        <v>0</v>
      </c>
      <c r="AW93" s="115">
        <f>'[8]FY20 Initial Budget Allocat (2)'!AW93/'FY20 Initial Budget Allocat FTE'!AW$121</f>
        <v>0</v>
      </c>
      <c r="AX93" s="115">
        <f>'[8]FY20 Initial Budget Allocat (2)'!AX93/'FY20 Initial Budget Allocat FTE'!AX$121</f>
        <v>0.5</v>
      </c>
      <c r="AY93" s="115">
        <f>'[8]FY20 Initial Budget Allocat (2)'!AY93/'FY20 Initial Budget Allocat FTE'!AY$121</f>
        <v>1</v>
      </c>
      <c r="AZ93" s="115">
        <f>'[8]FY20 Initial Budget Allocat (2)'!AZ93/'FY20 Initial Budget Allocat FTE'!AZ$121</f>
        <v>2</v>
      </c>
      <c r="BA93" s="115">
        <f>'[8]FY20 Initial Budget Allocat (2)'!BA93/'FY20 Initial Budget Allocat FTE'!BA$121</f>
        <v>2</v>
      </c>
      <c r="BB93" s="115">
        <f>'[8]FY20 Initial Budget Allocat (2)'!BB93/'FY20 Initial Budget Allocat FTE'!BB$121</f>
        <v>0</v>
      </c>
      <c r="BC93" s="115">
        <f>'[8]FY20 Initial Budget Allocat (2)'!BC93/'FY20 Initial Budget Allocat FTE'!BC$121</f>
        <v>0.5</v>
      </c>
      <c r="BD93" s="115">
        <f>'[8]FY20 Initial Budget Allocat (2)'!BD93/'FY20 Initial Budget Allocat FTE'!BD$121</f>
        <v>0.18181818181818182</v>
      </c>
      <c r="BE93" s="115">
        <f>'[8]FY20 Initial Budget Allocat (2)'!BE93/'FY20 Initial Budget Allocat FTE'!BE$121</f>
        <v>0</v>
      </c>
      <c r="BF93" s="115">
        <f>'[8]FY20 Initial Budget Allocat (2)'!BF93/'FY20 Initial Budget Allocat FTE'!BF$121</f>
        <v>0</v>
      </c>
      <c r="BG93" s="115">
        <f>'[8]FY20 Initial Budget Allocat (2)'!BG93/'FY20 Initial Budget Allocat FTE'!BG$121</f>
        <v>0</v>
      </c>
      <c r="BH93" s="115">
        <f>'[8]FY20 Initial Budget Allocat (2)'!BH93/'FY20 Initial Budget Allocat FTE'!BH$121</f>
        <v>0</v>
      </c>
      <c r="BI93" s="115">
        <f>'[8]FY20 Initial Budget Allocat (2)'!BI93/'FY20 Initial Budget Allocat FTE'!BI$121</f>
        <v>0</v>
      </c>
      <c r="BJ93" s="79"/>
      <c r="BK93" s="79">
        <v>0</v>
      </c>
      <c r="BL93" s="79"/>
      <c r="BM93" s="79">
        <v>0</v>
      </c>
      <c r="BN93" s="79">
        <v>0</v>
      </c>
      <c r="BO93" s="79">
        <v>14775</v>
      </c>
      <c r="BP93" s="115">
        <f>'[8]FY20 Initial Budget Allocat (2)'!BP93/'FY20 Initial Budget Allocat FTE'!BP$121</f>
        <v>0</v>
      </c>
      <c r="BQ93" s="115">
        <f>'[8]FY20 Initial Budget Allocat (2)'!BQ93/'FY20 Initial Budget Allocat FTE'!BQ$121</f>
        <v>0</v>
      </c>
      <c r="BR93" s="115">
        <f>'[8]FY20 Initial Budget Allocat (2)'!BR93/'FY20 Initial Budget Allocat FTE'!BR$121</f>
        <v>0</v>
      </c>
      <c r="BS93" s="115">
        <f>'[8]FY20 Initial Budget Allocat (2)'!BS93/'FY20 Initial Budget Allocat FTE'!BS$121</f>
        <v>0</v>
      </c>
      <c r="BT93" s="115">
        <f>'[8]FY20 Initial Budget Allocat (2)'!BT93/'FY20 Initial Budget Allocat FTE'!BT$121</f>
        <v>0</v>
      </c>
      <c r="BU93" s="115">
        <f>'[8]FY20 Initial Budget Allocat (2)'!BU93/'FY20 Initial Budget Allocat FTE'!BU$121</f>
        <v>0</v>
      </c>
      <c r="BV93" s="115">
        <f>'[8]FY20 Initial Budget Allocat (2)'!BV93/'FY20 Initial Budget Allocat FTE'!BV$121</f>
        <v>0</v>
      </c>
      <c r="BW93" s="80">
        <v>0</v>
      </c>
      <c r="BX93" s="80">
        <v>0</v>
      </c>
      <c r="BY93" s="80">
        <v>0</v>
      </c>
      <c r="BZ93" s="80">
        <v>0</v>
      </c>
      <c r="CA93" s="115">
        <f>'[8]FY20 Initial Budget Allocat (2)'!CA93/'FY20 Initial Budget Allocat FTE'!CA$121</f>
        <v>0</v>
      </c>
      <c r="CB93" s="115">
        <f>'[8]FY20 Initial Budget Allocat (2)'!CB93/'FY20 Initial Budget Allocat FTE'!CB$121</f>
        <v>0</v>
      </c>
      <c r="CC93" s="80">
        <v>0</v>
      </c>
      <c r="CD93" s="115">
        <f>'[8]FY20 Initial Budget Allocat (2)'!CD93/'FY20 Initial Budget Allocat FTE'!CD$121</f>
        <v>0</v>
      </c>
      <c r="CE93" s="115">
        <f>'[8]FY20 Initial Budget Allocat (2)'!CE93/'FY20 Initial Budget Allocat FTE'!CE$121</f>
        <v>0</v>
      </c>
      <c r="CF93" s="115">
        <f>'[8]FY20 Initial Budget Allocat (2)'!CF93/'FY20 Initial Budget Allocat FTE'!CF$121</f>
        <v>0</v>
      </c>
      <c r="CG93" s="115">
        <f>'[8]FY20 Initial Budget Allocat (2)'!CG93/'FY20 Initial Budget Allocat FTE'!CG$121</f>
        <v>0</v>
      </c>
      <c r="CH93" s="115">
        <f>'[8]FY20 Initial Budget Allocat (2)'!CH93/'FY20 Initial Budget Allocat FTE'!CH$121</f>
        <v>0</v>
      </c>
      <c r="CI93" s="115">
        <f>'[8]FY20 Initial Budget Allocat (2)'!CI93/'FY20 Initial Budget Allocat FTE'!CI$121</f>
        <v>0</v>
      </c>
      <c r="CJ93" s="115">
        <f>'[8]FY20 Initial Budget Allocat (2)'!CJ93/'FY20 Initial Budget Allocat FTE'!CJ$121</f>
        <v>0</v>
      </c>
      <c r="CK93" s="79">
        <v>0</v>
      </c>
      <c r="CL93" s="79">
        <v>0</v>
      </c>
      <c r="CM93" s="79">
        <v>295048.09999999998</v>
      </c>
      <c r="CN93" s="79">
        <v>0</v>
      </c>
      <c r="CO93" s="115">
        <f>'[8]FY20 Initial Budget Allocat (2)'!CO93/'FY20 Initial Budget Allocat FTE'!CO$121</f>
        <v>1</v>
      </c>
      <c r="CP93" s="79">
        <v>0</v>
      </c>
      <c r="CQ93" s="79">
        <v>0</v>
      </c>
      <c r="CR93" s="79">
        <v>0</v>
      </c>
      <c r="CS93" s="79">
        <v>75891.265384615384</v>
      </c>
      <c r="CT93" s="115">
        <f>'[8]FY20 Initial Budget Allocat (2)'!CT93/'FY20 Initial Budget Allocat FTE'!CT$121</f>
        <v>0</v>
      </c>
      <c r="CU93" s="115">
        <f>'[8]FY20 Initial Budget Allocat (2)'!CU93/'FY20 Initial Budget Allocat FTE'!CU$121</f>
        <v>0</v>
      </c>
      <c r="CV93" s="79"/>
      <c r="CW93" s="79">
        <v>0</v>
      </c>
      <c r="CX93" s="115">
        <f>'[8]FY20 Initial Budget Allocat (2)'!CX93/'FY20 Initial Budget Allocat FTE'!CX$121</f>
        <v>0</v>
      </c>
      <c r="CY93" s="79">
        <v>0</v>
      </c>
      <c r="CZ93" s="79">
        <v>0</v>
      </c>
      <c r="DA93" s="79">
        <v>60100</v>
      </c>
      <c r="DB93" s="79">
        <v>78121.965700849818</v>
      </c>
      <c r="DC93" s="82">
        <v>750200</v>
      </c>
      <c r="DD93" s="79">
        <v>519436</v>
      </c>
      <c r="DE93" s="79"/>
      <c r="DF93" s="79">
        <v>150</v>
      </c>
      <c r="DG93" s="79">
        <v>0</v>
      </c>
      <c r="DH93" s="83">
        <v>0</v>
      </c>
      <c r="DI93" s="79">
        <v>11058.266784275256</v>
      </c>
      <c r="DJ93" s="79">
        <v>6646018.3373494288</v>
      </c>
      <c r="DK93" s="84">
        <v>2.6505710557103157E-3</v>
      </c>
      <c r="DL93" s="84">
        <v>0</v>
      </c>
      <c r="DM93" s="84">
        <f t="shared" si="6"/>
        <v>6646018.3399999999</v>
      </c>
      <c r="DN93" s="116">
        <f t="shared" si="7"/>
        <v>0</v>
      </c>
      <c r="DO93" s="116">
        <f t="shared" si="8"/>
        <v>0</v>
      </c>
      <c r="DP93" s="116">
        <f t="shared" si="9"/>
        <v>25.200000000000003</v>
      </c>
      <c r="DQ93" s="116">
        <f t="shared" si="10"/>
        <v>3.6818181818181817</v>
      </c>
      <c r="DR93" s="116">
        <f t="shared" si="11"/>
        <v>2</v>
      </c>
    </row>
    <row r="94" spans="1:122" ht="31.5" x14ac:dyDescent="0.25">
      <c r="A94" s="76">
        <v>175</v>
      </c>
      <c r="B94" s="76" t="s">
        <v>234</v>
      </c>
      <c r="C94" s="77" t="s">
        <v>135</v>
      </c>
      <c r="D94" s="41">
        <v>6</v>
      </c>
      <c r="E94" s="78">
        <v>311</v>
      </c>
      <c r="F94" s="78">
        <v>27.074193548387097</v>
      </c>
      <c r="G94" s="115">
        <f>'[8]FY20 Initial Budget Allocat (2)'!G94/'FY20 Initial Budget Allocat FTE'!G$121</f>
        <v>1</v>
      </c>
      <c r="H94" s="115">
        <f>'[8]FY20 Initial Budget Allocat (2)'!H94/'FY20 Initial Budget Allocat FTE'!H$121</f>
        <v>1</v>
      </c>
      <c r="I94" s="115">
        <f>'[8]FY20 Initial Budget Allocat (2)'!I94/'FY20 Initial Budget Allocat FTE'!I$121</f>
        <v>0.8</v>
      </c>
      <c r="J94" s="115">
        <f>'[8]FY20 Initial Budget Allocat (2)'!J94/'FY20 Initial Budget Allocat FTE'!J$121</f>
        <v>0</v>
      </c>
      <c r="K94" s="115">
        <f>'[8]FY20 Initial Budget Allocat (2)'!K94/'FY20 Initial Budget Allocat FTE'!K$121</f>
        <v>0</v>
      </c>
      <c r="L94" s="115">
        <f>'[8]FY20 Initial Budget Allocat (2)'!L94/'FY20 Initial Budget Allocat FTE'!L$121</f>
        <v>1</v>
      </c>
      <c r="M94" s="115">
        <f>'[8]FY20 Initial Budget Allocat (2)'!M94/'FY20 Initial Budget Allocat FTE'!M$121</f>
        <v>1</v>
      </c>
      <c r="N94" s="115">
        <f>'[8]FY20 Initial Budget Allocat (2)'!N94/'FY20 Initial Budget Allocat FTE'!N$121</f>
        <v>0</v>
      </c>
      <c r="O94" s="115">
        <f>'[8]FY20 Initial Budget Allocat (2)'!O94/'FY20 Initial Budget Allocat FTE'!O$121</f>
        <v>0</v>
      </c>
      <c r="P94" s="115">
        <f>'[8]FY20 Initial Budget Allocat (2)'!P94/'FY20 Initial Budget Allocat FTE'!P$121</f>
        <v>0</v>
      </c>
      <c r="Q94" s="115">
        <f>'[8]FY20 Initial Budget Allocat (2)'!Q94/'FY20 Initial Budget Allocat FTE'!Q$121</f>
        <v>0</v>
      </c>
      <c r="R94" s="115">
        <f>'[8]FY20 Initial Budget Allocat (2)'!R94/'FY20 Initial Budget Allocat FTE'!R$121</f>
        <v>1</v>
      </c>
      <c r="S94" s="115">
        <f>'[8]FY20 Initial Budget Allocat (2)'!S94/'FY20 Initial Budget Allocat FTE'!S$121</f>
        <v>1</v>
      </c>
      <c r="T94" s="115">
        <f>'[8]FY20 Initial Budget Allocat (2)'!T94/'FY20 Initial Budget Allocat FTE'!T$121</f>
        <v>2</v>
      </c>
      <c r="U94" s="115">
        <f>'[8]FY20 Initial Budget Allocat (2)'!U94/'FY20 Initial Budget Allocat FTE'!U$121</f>
        <v>1</v>
      </c>
      <c r="V94" s="115">
        <f>'[8]FY20 Initial Budget Allocat (2)'!V94/'FY20 Initial Budget Allocat FTE'!V$121</f>
        <v>1</v>
      </c>
      <c r="W94" s="115">
        <f>'[8]FY20 Initial Budget Allocat (2)'!W94/'FY20 Initial Budget Allocat FTE'!W$121</f>
        <v>1</v>
      </c>
      <c r="X94" s="115">
        <f>'[8]FY20 Initial Budget Allocat (2)'!X94/'FY20 Initial Budget Allocat FTE'!X$121</f>
        <v>1</v>
      </c>
      <c r="Y94" s="115">
        <f>'[8]FY20 Initial Budget Allocat (2)'!Y94/'FY20 Initial Budget Allocat FTE'!Y$121</f>
        <v>0</v>
      </c>
      <c r="Z94" s="115">
        <f>'[8]FY20 Initial Budget Allocat (2)'!Z94/'FY20 Initial Budget Allocat FTE'!Z$121</f>
        <v>0</v>
      </c>
      <c r="AA94" s="115">
        <f>'[8]FY20 Initial Budget Allocat (2)'!AA94/'FY20 Initial Budget Allocat FTE'!AA$121</f>
        <v>2</v>
      </c>
      <c r="AB94" s="115">
        <f>'[8]FY20 Initial Budget Allocat (2)'!AB94/'FY20 Initial Budget Allocat FTE'!AB$121</f>
        <v>2</v>
      </c>
      <c r="AC94" s="115">
        <f>'[8]FY20 Initial Budget Allocat (2)'!AC94/'FY20 Initial Budget Allocat FTE'!AC$121</f>
        <v>0</v>
      </c>
      <c r="AD94" s="115">
        <f>'[8]FY20 Initial Budget Allocat (2)'!AD94/'FY20 Initial Budget Allocat FTE'!AD$121</f>
        <v>0</v>
      </c>
      <c r="AE94" s="115">
        <f>'[8]FY20 Initial Budget Allocat (2)'!AE94/'FY20 Initial Budget Allocat FTE'!AE$121</f>
        <v>2</v>
      </c>
      <c r="AF94" s="115">
        <f>'[8]FY20 Initial Budget Allocat (2)'!AF94/'FY20 Initial Budget Allocat FTE'!AF$121</f>
        <v>2</v>
      </c>
      <c r="AG94" s="115">
        <f>'[8]FY20 Initial Budget Allocat (2)'!AG94/'FY20 Initial Budget Allocat FTE'!AG$121</f>
        <v>2</v>
      </c>
      <c r="AH94" s="115">
        <f>'[8]FY20 Initial Budget Allocat (2)'!AH94/'FY20 Initial Budget Allocat FTE'!AH$121</f>
        <v>2</v>
      </c>
      <c r="AI94" s="115">
        <f>'[8]FY20 Initial Budget Allocat (2)'!AI94/'FY20 Initial Budget Allocat FTE'!AI$121</f>
        <v>2</v>
      </c>
      <c r="AJ94" s="115">
        <f>'[8]FY20 Initial Budget Allocat (2)'!AJ94/'FY20 Initial Budget Allocat FTE'!AJ$121</f>
        <v>2</v>
      </c>
      <c r="AK94" s="115">
        <f>'[8]FY20 Initial Budget Allocat (2)'!AK94/'FY20 Initial Budget Allocat FTE'!AK$121</f>
        <v>2</v>
      </c>
      <c r="AL94" s="115">
        <f>'[8]FY20 Initial Budget Allocat (2)'!AL94/'FY20 Initial Budget Allocat FTE'!AL$121</f>
        <v>2</v>
      </c>
      <c r="AM94" s="115">
        <f>'[8]FY20 Initial Budget Allocat (2)'!AM94/'FY20 Initial Budget Allocat FTE'!AM$121</f>
        <v>1</v>
      </c>
      <c r="AN94" s="115">
        <f>'[8]FY20 Initial Budget Allocat (2)'!AN94/'FY20 Initial Budget Allocat FTE'!AN$121</f>
        <v>0</v>
      </c>
      <c r="AO94" s="115">
        <f>'[8]FY20 Initial Budget Allocat (2)'!AO94/'FY20 Initial Budget Allocat FTE'!AO$121</f>
        <v>0</v>
      </c>
      <c r="AP94" s="115">
        <f>'[8]FY20 Initial Budget Allocat (2)'!AP94/'FY20 Initial Budget Allocat FTE'!AP$121</f>
        <v>0</v>
      </c>
      <c r="AQ94" s="115">
        <f>'[8]FY20 Initial Budget Allocat (2)'!AQ94/'FY20 Initial Budget Allocat FTE'!AQ$121</f>
        <v>0</v>
      </c>
      <c r="AR94" s="115">
        <f>'[8]FY20 Initial Budget Allocat (2)'!AR94/'FY20 Initial Budget Allocat FTE'!AR$121</f>
        <v>0</v>
      </c>
      <c r="AS94" s="115">
        <f>'[8]FY20 Initial Budget Allocat (2)'!AS94/'FY20 Initial Budget Allocat FTE'!AS$121</f>
        <v>0</v>
      </c>
      <c r="AT94" s="115">
        <f>'[8]FY20 Initial Budget Allocat (2)'!AT94/'FY20 Initial Budget Allocat FTE'!AT$121</f>
        <v>0</v>
      </c>
      <c r="AU94" s="115">
        <f>'[8]FY20 Initial Budget Allocat (2)'!AU94/'FY20 Initial Budget Allocat FTE'!AU$121</f>
        <v>0</v>
      </c>
      <c r="AV94" s="115">
        <f>'[8]FY20 Initial Budget Allocat (2)'!AV94/'FY20 Initial Budget Allocat FTE'!AV$121</f>
        <v>0</v>
      </c>
      <c r="AW94" s="115">
        <f>'[8]FY20 Initial Budget Allocat (2)'!AW94/'FY20 Initial Budget Allocat FTE'!AW$121</f>
        <v>0</v>
      </c>
      <c r="AX94" s="115">
        <f>'[8]FY20 Initial Budget Allocat (2)'!AX94/'FY20 Initial Budget Allocat FTE'!AX$121</f>
        <v>0.5</v>
      </c>
      <c r="AY94" s="115">
        <f>'[8]FY20 Initial Budget Allocat (2)'!AY94/'FY20 Initial Budget Allocat FTE'!AY$121</f>
        <v>2</v>
      </c>
      <c r="AZ94" s="115">
        <f>'[8]FY20 Initial Budget Allocat (2)'!AZ94/'FY20 Initial Budget Allocat FTE'!AZ$121</f>
        <v>8</v>
      </c>
      <c r="BA94" s="115">
        <f>'[8]FY20 Initial Budget Allocat (2)'!BA94/'FY20 Initial Budget Allocat FTE'!BA$121</f>
        <v>8</v>
      </c>
      <c r="BB94" s="115">
        <f>'[8]FY20 Initial Budget Allocat (2)'!BB94/'FY20 Initial Budget Allocat FTE'!BB$121</f>
        <v>0</v>
      </c>
      <c r="BC94" s="115">
        <f>'[8]FY20 Initial Budget Allocat (2)'!BC94/'FY20 Initial Budget Allocat FTE'!BC$121</f>
        <v>0</v>
      </c>
      <c r="BD94" s="115">
        <f>'[8]FY20 Initial Budget Allocat (2)'!BD94/'FY20 Initial Budget Allocat FTE'!BD$121</f>
        <v>9.0909090909090912E-2</v>
      </c>
      <c r="BE94" s="115">
        <f>'[8]FY20 Initial Budget Allocat (2)'!BE94/'FY20 Initial Budget Allocat FTE'!BE$121</f>
        <v>0</v>
      </c>
      <c r="BF94" s="115">
        <f>'[8]FY20 Initial Budget Allocat (2)'!BF94/'FY20 Initial Budget Allocat FTE'!BF$121</f>
        <v>0</v>
      </c>
      <c r="BG94" s="115">
        <f>'[8]FY20 Initial Budget Allocat (2)'!BG94/'FY20 Initial Budget Allocat FTE'!BG$121</f>
        <v>0</v>
      </c>
      <c r="BH94" s="115">
        <f>'[8]FY20 Initial Budget Allocat (2)'!BH94/'FY20 Initial Budget Allocat FTE'!BH$121</f>
        <v>0</v>
      </c>
      <c r="BI94" s="115">
        <f>'[8]FY20 Initial Budget Allocat (2)'!BI94/'FY20 Initial Budget Allocat FTE'!BI$121</f>
        <v>0</v>
      </c>
      <c r="BJ94" s="79"/>
      <c r="BK94" s="79">
        <v>0</v>
      </c>
      <c r="BL94" s="79"/>
      <c r="BM94" s="79">
        <v>0</v>
      </c>
      <c r="BN94" s="79">
        <v>0</v>
      </c>
      <c r="BO94" s="79">
        <v>7700</v>
      </c>
      <c r="BP94" s="115">
        <f>'[8]FY20 Initial Budget Allocat (2)'!BP94/'FY20 Initial Budget Allocat FTE'!BP$121</f>
        <v>0</v>
      </c>
      <c r="BQ94" s="115">
        <f>'[8]FY20 Initial Budget Allocat (2)'!BQ94/'FY20 Initial Budget Allocat FTE'!BQ$121</f>
        <v>0</v>
      </c>
      <c r="BR94" s="115">
        <f>'[8]FY20 Initial Budget Allocat (2)'!BR94/'FY20 Initial Budget Allocat FTE'!BR$121</f>
        <v>0</v>
      </c>
      <c r="BS94" s="115">
        <f>'[8]FY20 Initial Budget Allocat (2)'!BS94/'FY20 Initial Budget Allocat FTE'!BS$121</f>
        <v>0</v>
      </c>
      <c r="BT94" s="115">
        <f>'[8]FY20 Initial Budget Allocat (2)'!BT94/'FY20 Initial Budget Allocat FTE'!BT$121</f>
        <v>0</v>
      </c>
      <c r="BU94" s="115">
        <f>'[8]FY20 Initial Budget Allocat (2)'!BU94/'FY20 Initial Budget Allocat FTE'!BU$121</f>
        <v>0</v>
      </c>
      <c r="BV94" s="115">
        <f>'[8]FY20 Initial Budget Allocat (2)'!BV94/'FY20 Initial Budget Allocat FTE'!BV$121</f>
        <v>0</v>
      </c>
      <c r="BW94" s="80">
        <v>0</v>
      </c>
      <c r="BX94" s="80">
        <v>0</v>
      </c>
      <c r="BY94" s="80">
        <v>0</v>
      </c>
      <c r="BZ94" s="80">
        <v>0</v>
      </c>
      <c r="CA94" s="115">
        <f>'[8]FY20 Initial Budget Allocat (2)'!CA94/'FY20 Initial Budget Allocat FTE'!CA$121</f>
        <v>0</v>
      </c>
      <c r="CB94" s="115">
        <f>'[8]FY20 Initial Budget Allocat (2)'!CB94/'FY20 Initial Budget Allocat FTE'!CB$121</f>
        <v>0</v>
      </c>
      <c r="CC94" s="80">
        <v>0</v>
      </c>
      <c r="CD94" s="115">
        <f>'[8]FY20 Initial Budget Allocat (2)'!CD94/'FY20 Initial Budget Allocat FTE'!CD$121</f>
        <v>0</v>
      </c>
      <c r="CE94" s="115">
        <f>'[8]FY20 Initial Budget Allocat (2)'!CE94/'FY20 Initial Budget Allocat FTE'!CE$121</f>
        <v>0</v>
      </c>
      <c r="CF94" s="115">
        <f>'[8]FY20 Initial Budget Allocat (2)'!CF94/'FY20 Initial Budget Allocat FTE'!CF$121</f>
        <v>0</v>
      </c>
      <c r="CG94" s="115">
        <f>'[8]FY20 Initial Budget Allocat (2)'!CG94/'FY20 Initial Budget Allocat FTE'!CG$121</f>
        <v>0</v>
      </c>
      <c r="CH94" s="115">
        <f>'[8]FY20 Initial Budget Allocat (2)'!CH94/'FY20 Initial Budget Allocat FTE'!CH$121</f>
        <v>0</v>
      </c>
      <c r="CI94" s="115">
        <f>'[8]FY20 Initial Budget Allocat (2)'!CI94/'FY20 Initial Budget Allocat FTE'!CI$121</f>
        <v>0</v>
      </c>
      <c r="CJ94" s="115">
        <f>'[8]FY20 Initial Budget Allocat (2)'!CJ94/'FY20 Initial Budget Allocat FTE'!CJ$121</f>
        <v>0</v>
      </c>
      <c r="CK94" s="79">
        <v>0</v>
      </c>
      <c r="CL94" s="79">
        <v>0</v>
      </c>
      <c r="CM94" s="79">
        <v>54082.8</v>
      </c>
      <c r="CN94" s="79">
        <v>0</v>
      </c>
      <c r="CO94" s="115">
        <f>'[8]FY20 Initial Budget Allocat (2)'!CO94/'FY20 Initial Budget Allocat FTE'!CO$121</f>
        <v>0</v>
      </c>
      <c r="CP94" s="79">
        <v>0</v>
      </c>
      <c r="CQ94" s="79">
        <v>0</v>
      </c>
      <c r="CR94" s="79">
        <v>0</v>
      </c>
      <c r="CS94" s="79">
        <v>17408.18888888889</v>
      </c>
      <c r="CT94" s="115">
        <f>'[8]FY20 Initial Budget Allocat (2)'!CT94/'FY20 Initial Budget Allocat FTE'!CT$121</f>
        <v>0</v>
      </c>
      <c r="CU94" s="115">
        <f>'[8]FY20 Initial Budget Allocat (2)'!CU94/'FY20 Initial Budget Allocat FTE'!CU$121</f>
        <v>0</v>
      </c>
      <c r="CV94" s="79"/>
      <c r="CW94" s="79">
        <v>0</v>
      </c>
      <c r="CX94" s="115">
        <f>'[8]FY20 Initial Budget Allocat (2)'!CX94/'FY20 Initial Budget Allocat FTE'!CX$121</f>
        <v>0</v>
      </c>
      <c r="CY94" s="79">
        <v>0</v>
      </c>
      <c r="CZ94" s="79">
        <v>0</v>
      </c>
      <c r="DA94" s="79">
        <v>31100</v>
      </c>
      <c r="DB94" s="79">
        <v>71932.46007254938</v>
      </c>
      <c r="DC94" s="82">
        <v>0</v>
      </c>
      <c r="DD94" s="79">
        <v>0</v>
      </c>
      <c r="DE94" s="79"/>
      <c r="DF94" s="79">
        <v>1200</v>
      </c>
      <c r="DG94" s="79">
        <v>0</v>
      </c>
      <c r="DH94" s="83">
        <v>0</v>
      </c>
      <c r="DI94" s="79">
        <v>14955.878173159819</v>
      </c>
      <c r="DJ94" s="79">
        <v>4651278.1118527036</v>
      </c>
      <c r="DK94" s="84">
        <v>54557.888147296384</v>
      </c>
      <c r="DL94" s="84">
        <v>0</v>
      </c>
      <c r="DM94" s="84">
        <f t="shared" si="6"/>
        <v>4705836</v>
      </c>
      <c r="DN94" s="116">
        <f t="shared" si="7"/>
        <v>6</v>
      </c>
      <c r="DO94" s="116">
        <f t="shared" si="8"/>
        <v>6</v>
      </c>
      <c r="DP94" s="116">
        <f t="shared" si="9"/>
        <v>9</v>
      </c>
      <c r="DQ94" s="116">
        <f t="shared" si="10"/>
        <v>10.590909090909092</v>
      </c>
      <c r="DR94" s="116">
        <f t="shared" si="11"/>
        <v>8</v>
      </c>
    </row>
    <row r="95" spans="1:122" x14ac:dyDescent="0.25">
      <c r="A95" s="76">
        <v>309</v>
      </c>
      <c r="B95" s="76" t="s">
        <v>235</v>
      </c>
      <c r="C95" s="77" t="s">
        <v>135</v>
      </c>
      <c r="D95" s="41">
        <v>6</v>
      </c>
      <c r="E95" s="78">
        <v>403</v>
      </c>
      <c r="F95" s="78">
        <v>209.85675675675677</v>
      </c>
      <c r="G95" s="115">
        <f>'[8]FY20 Initial Budget Allocat (2)'!G95/'FY20 Initial Budget Allocat FTE'!G$121</f>
        <v>1</v>
      </c>
      <c r="H95" s="115">
        <f>'[8]FY20 Initial Budget Allocat (2)'!H95/'FY20 Initial Budget Allocat FTE'!H$121</f>
        <v>1</v>
      </c>
      <c r="I95" s="115">
        <f>'[8]FY20 Initial Budget Allocat (2)'!I95/'FY20 Initial Budget Allocat FTE'!I$121</f>
        <v>1</v>
      </c>
      <c r="J95" s="115">
        <f>'[8]FY20 Initial Budget Allocat (2)'!J95/'FY20 Initial Budget Allocat FTE'!J$121</f>
        <v>0</v>
      </c>
      <c r="K95" s="115">
        <f>'[8]FY20 Initial Budget Allocat (2)'!K95/'FY20 Initial Budget Allocat FTE'!K$121</f>
        <v>0</v>
      </c>
      <c r="L95" s="115">
        <f>'[8]FY20 Initial Budget Allocat (2)'!L95/'FY20 Initial Budget Allocat FTE'!L$121</f>
        <v>1</v>
      </c>
      <c r="M95" s="115">
        <f>'[8]FY20 Initial Budget Allocat (2)'!M95/'FY20 Initial Budget Allocat FTE'!M$121</f>
        <v>1</v>
      </c>
      <c r="N95" s="115">
        <f>'[8]FY20 Initial Budget Allocat (2)'!N95/'FY20 Initial Budget Allocat FTE'!N$121</f>
        <v>1</v>
      </c>
      <c r="O95" s="115">
        <f>'[8]FY20 Initial Budget Allocat (2)'!O95/'FY20 Initial Budget Allocat FTE'!O$121</f>
        <v>0</v>
      </c>
      <c r="P95" s="115">
        <f>'[8]FY20 Initial Budget Allocat (2)'!P95/'FY20 Initial Budget Allocat FTE'!P$121</f>
        <v>0</v>
      </c>
      <c r="Q95" s="115">
        <f>'[8]FY20 Initial Budget Allocat (2)'!Q95/'FY20 Initial Budget Allocat FTE'!Q$121</f>
        <v>0</v>
      </c>
      <c r="R95" s="115">
        <f>'[8]FY20 Initial Budget Allocat (2)'!R95/'FY20 Initial Budget Allocat FTE'!R$121</f>
        <v>1</v>
      </c>
      <c r="S95" s="115">
        <f>'[8]FY20 Initial Budget Allocat (2)'!S95/'FY20 Initial Budget Allocat FTE'!S$121</f>
        <v>1</v>
      </c>
      <c r="T95" s="115">
        <f>'[8]FY20 Initial Budget Allocat (2)'!T95/'FY20 Initial Budget Allocat FTE'!T$121</f>
        <v>2</v>
      </c>
      <c r="U95" s="115">
        <f>'[8]FY20 Initial Budget Allocat (2)'!U95/'FY20 Initial Budget Allocat FTE'!U$121</f>
        <v>1</v>
      </c>
      <c r="V95" s="115">
        <f>'[8]FY20 Initial Budget Allocat (2)'!V95/'FY20 Initial Budget Allocat FTE'!V$121</f>
        <v>1</v>
      </c>
      <c r="W95" s="115">
        <f>'[8]FY20 Initial Budget Allocat (2)'!W95/'FY20 Initial Budget Allocat FTE'!W$121</f>
        <v>1</v>
      </c>
      <c r="X95" s="115">
        <f>'[8]FY20 Initial Budget Allocat (2)'!X95/'FY20 Initial Budget Allocat FTE'!X$121</f>
        <v>1</v>
      </c>
      <c r="Y95" s="115">
        <f>'[8]FY20 Initial Budget Allocat (2)'!Y95/'FY20 Initial Budget Allocat FTE'!Y$121</f>
        <v>1.5000000000000016</v>
      </c>
      <c r="Z95" s="115">
        <f>'[8]FY20 Initial Budget Allocat (2)'!Z95/'FY20 Initial Budget Allocat FTE'!Z$121</f>
        <v>1</v>
      </c>
      <c r="AA95" s="115">
        <f>'[8]FY20 Initial Budget Allocat (2)'!AA95/'FY20 Initial Budget Allocat FTE'!AA$121</f>
        <v>3.0000000000000004</v>
      </c>
      <c r="AB95" s="115">
        <f>'[8]FY20 Initial Budget Allocat (2)'!AB95/'FY20 Initial Budget Allocat FTE'!AB$121</f>
        <v>3</v>
      </c>
      <c r="AC95" s="115">
        <f>'[8]FY20 Initial Budget Allocat (2)'!AC95/'FY20 Initial Budget Allocat FTE'!AC$121</f>
        <v>0</v>
      </c>
      <c r="AD95" s="115">
        <f>'[8]FY20 Initial Budget Allocat (2)'!AD95/'FY20 Initial Budget Allocat FTE'!AD$121</f>
        <v>0</v>
      </c>
      <c r="AE95" s="115">
        <f>'[8]FY20 Initial Budget Allocat (2)'!AE95/'FY20 Initial Budget Allocat FTE'!AE$121</f>
        <v>3.0000000000000004</v>
      </c>
      <c r="AF95" s="115">
        <f>'[8]FY20 Initial Budget Allocat (2)'!AF95/'FY20 Initial Budget Allocat FTE'!AF$121</f>
        <v>3</v>
      </c>
      <c r="AG95" s="115">
        <f>'[8]FY20 Initial Budget Allocat (2)'!AG95/'FY20 Initial Budget Allocat FTE'!AG$121</f>
        <v>3.0000000000000004</v>
      </c>
      <c r="AH95" s="115">
        <f>'[8]FY20 Initial Budget Allocat (2)'!AH95/'FY20 Initial Budget Allocat FTE'!AH$121</f>
        <v>3</v>
      </c>
      <c r="AI95" s="115">
        <f>'[8]FY20 Initial Budget Allocat (2)'!AI95/'FY20 Initial Budget Allocat FTE'!AI$121</f>
        <v>2</v>
      </c>
      <c r="AJ95" s="115">
        <f>'[8]FY20 Initial Budget Allocat (2)'!AJ95/'FY20 Initial Budget Allocat FTE'!AJ$121</f>
        <v>3.0000000000000004</v>
      </c>
      <c r="AK95" s="115">
        <f>'[8]FY20 Initial Budget Allocat (2)'!AK95/'FY20 Initial Budget Allocat FTE'!AK$121</f>
        <v>2</v>
      </c>
      <c r="AL95" s="115">
        <f>'[8]FY20 Initial Budget Allocat (2)'!AL95/'FY20 Initial Budget Allocat FTE'!AL$121</f>
        <v>2</v>
      </c>
      <c r="AM95" s="115">
        <f>'[8]FY20 Initial Budget Allocat (2)'!AM95/'FY20 Initial Budget Allocat FTE'!AM$121</f>
        <v>2</v>
      </c>
      <c r="AN95" s="115">
        <f>'[8]FY20 Initial Budget Allocat (2)'!AN95/'FY20 Initial Budget Allocat FTE'!AN$121</f>
        <v>0</v>
      </c>
      <c r="AO95" s="115">
        <f>'[8]FY20 Initial Budget Allocat (2)'!AO95/'FY20 Initial Budget Allocat FTE'!AO$121</f>
        <v>0</v>
      </c>
      <c r="AP95" s="115">
        <f>'[8]FY20 Initial Budget Allocat (2)'!AP95/'FY20 Initial Budget Allocat FTE'!AP$121</f>
        <v>0</v>
      </c>
      <c r="AQ95" s="115">
        <f>'[8]FY20 Initial Budget Allocat (2)'!AQ95/'FY20 Initial Budget Allocat FTE'!AQ$121</f>
        <v>0</v>
      </c>
      <c r="AR95" s="115">
        <f>'[8]FY20 Initial Budget Allocat (2)'!AR95/'FY20 Initial Budget Allocat FTE'!AR$121</f>
        <v>0</v>
      </c>
      <c r="AS95" s="115">
        <f>'[8]FY20 Initial Budget Allocat (2)'!AS95/'FY20 Initial Budget Allocat FTE'!AS$121</f>
        <v>0</v>
      </c>
      <c r="AT95" s="115">
        <f>'[8]FY20 Initial Budget Allocat (2)'!AT95/'FY20 Initial Budget Allocat FTE'!AT$121</f>
        <v>0</v>
      </c>
      <c r="AU95" s="115">
        <f>'[8]FY20 Initial Budget Allocat (2)'!AU95/'FY20 Initial Budget Allocat FTE'!AU$121</f>
        <v>0</v>
      </c>
      <c r="AV95" s="115">
        <f>'[8]FY20 Initial Budget Allocat (2)'!AV95/'FY20 Initial Budget Allocat FTE'!AV$121</f>
        <v>0</v>
      </c>
      <c r="AW95" s="115">
        <f>'[8]FY20 Initial Budget Allocat (2)'!AW95/'FY20 Initial Budget Allocat FTE'!AW$121</f>
        <v>0</v>
      </c>
      <c r="AX95" s="115">
        <f>'[8]FY20 Initial Budget Allocat (2)'!AX95/'FY20 Initial Budget Allocat FTE'!AX$121</f>
        <v>1</v>
      </c>
      <c r="AY95" s="115">
        <f>'[8]FY20 Initial Budget Allocat (2)'!AY95/'FY20 Initial Budget Allocat FTE'!AY$121</f>
        <v>1</v>
      </c>
      <c r="AZ95" s="115">
        <f>'[8]FY20 Initial Budget Allocat (2)'!AZ95/'FY20 Initial Budget Allocat FTE'!AZ$121</f>
        <v>7</v>
      </c>
      <c r="BA95" s="115">
        <f>'[8]FY20 Initial Budget Allocat (2)'!BA95/'FY20 Initial Budget Allocat FTE'!BA$121</f>
        <v>8</v>
      </c>
      <c r="BB95" s="115">
        <f>'[8]FY20 Initial Budget Allocat (2)'!BB95/'FY20 Initial Budget Allocat FTE'!BB$121</f>
        <v>0</v>
      </c>
      <c r="BC95" s="115">
        <f>'[8]FY20 Initial Budget Allocat (2)'!BC95/'FY20 Initial Budget Allocat FTE'!BC$121</f>
        <v>1</v>
      </c>
      <c r="BD95" s="115">
        <f>'[8]FY20 Initial Budget Allocat (2)'!BD95/'FY20 Initial Budget Allocat FTE'!BD$121</f>
        <v>8</v>
      </c>
      <c r="BE95" s="115">
        <f>'[8]FY20 Initial Budget Allocat (2)'!BE95/'FY20 Initial Budget Allocat FTE'!BE$121</f>
        <v>0</v>
      </c>
      <c r="BF95" s="115">
        <f>'[8]FY20 Initial Budget Allocat (2)'!BF95/'FY20 Initial Budget Allocat FTE'!BF$121</f>
        <v>1</v>
      </c>
      <c r="BG95" s="115">
        <f>'[8]FY20 Initial Budget Allocat (2)'!BG95/'FY20 Initial Budget Allocat FTE'!BG$121</f>
        <v>2.1252589375208819</v>
      </c>
      <c r="BH95" s="115">
        <f>'[8]FY20 Initial Budget Allocat (2)'!BH95/'FY20 Initial Budget Allocat FTE'!BH$121</f>
        <v>6</v>
      </c>
      <c r="BI95" s="115">
        <f>'[8]FY20 Initial Budget Allocat (2)'!BI95/'FY20 Initial Budget Allocat FTE'!BI$121</f>
        <v>1</v>
      </c>
      <c r="BJ95" s="79"/>
      <c r="BK95" s="79">
        <v>0</v>
      </c>
      <c r="BL95" s="79">
        <v>23194.2</v>
      </c>
      <c r="BM95" s="79">
        <v>176369.37</v>
      </c>
      <c r="BN95" s="79">
        <v>2806.49</v>
      </c>
      <c r="BO95" s="79">
        <v>0</v>
      </c>
      <c r="BP95" s="115">
        <f>'[8]FY20 Initial Budget Allocat (2)'!BP95/'FY20 Initial Budget Allocat FTE'!BP$121</f>
        <v>0</v>
      </c>
      <c r="BQ95" s="115">
        <f>'[8]FY20 Initial Budget Allocat (2)'!BQ95/'FY20 Initial Budget Allocat FTE'!BQ$121</f>
        <v>0</v>
      </c>
      <c r="BR95" s="115">
        <f>'[8]FY20 Initial Budget Allocat (2)'!BR95/'FY20 Initial Budget Allocat FTE'!BR$121</f>
        <v>0</v>
      </c>
      <c r="BS95" s="115">
        <f>'[8]FY20 Initial Budget Allocat (2)'!BS95/'FY20 Initial Budget Allocat FTE'!BS$121</f>
        <v>0</v>
      </c>
      <c r="BT95" s="115">
        <f>'[8]FY20 Initial Budget Allocat (2)'!BT95/'FY20 Initial Budget Allocat FTE'!BT$121</f>
        <v>0</v>
      </c>
      <c r="BU95" s="115">
        <f>'[8]FY20 Initial Budget Allocat (2)'!BU95/'FY20 Initial Budget Allocat FTE'!BU$121</f>
        <v>0</v>
      </c>
      <c r="BV95" s="115">
        <f>'[8]FY20 Initial Budget Allocat (2)'!BV95/'FY20 Initial Budget Allocat FTE'!BV$121</f>
        <v>0</v>
      </c>
      <c r="BW95" s="80">
        <v>0</v>
      </c>
      <c r="BX95" s="80">
        <v>0</v>
      </c>
      <c r="BY95" s="80">
        <v>0</v>
      </c>
      <c r="BZ95" s="80">
        <v>0</v>
      </c>
      <c r="CA95" s="115">
        <f>'[8]FY20 Initial Budget Allocat (2)'!CA95/'FY20 Initial Budget Allocat FTE'!CA$121</f>
        <v>0</v>
      </c>
      <c r="CB95" s="115">
        <f>'[8]FY20 Initial Budget Allocat (2)'!CB95/'FY20 Initial Budget Allocat FTE'!CB$121</f>
        <v>0</v>
      </c>
      <c r="CC95" s="80">
        <v>0</v>
      </c>
      <c r="CD95" s="115">
        <f>'[8]FY20 Initial Budget Allocat (2)'!CD95/'FY20 Initial Budget Allocat FTE'!CD$121</f>
        <v>0</v>
      </c>
      <c r="CE95" s="115">
        <f>'[8]FY20 Initial Budget Allocat (2)'!CE95/'FY20 Initial Budget Allocat FTE'!CE$121</f>
        <v>0</v>
      </c>
      <c r="CF95" s="115">
        <f>'[8]FY20 Initial Budget Allocat (2)'!CF95/'FY20 Initial Budget Allocat FTE'!CF$121</f>
        <v>0</v>
      </c>
      <c r="CG95" s="115">
        <f>'[8]FY20 Initial Budget Allocat (2)'!CG95/'FY20 Initial Budget Allocat FTE'!CG$121</f>
        <v>0</v>
      </c>
      <c r="CH95" s="115">
        <f>'[8]FY20 Initial Budget Allocat (2)'!CH95/'FY20 Initial Budget Allocat FTE'!CH$121</f>
        <v>0</v>
      </c>
      <c r="CI95" s="115">
        <f>'[8]FY20 Initial Budget Allocat (2)'!CI95/'FY20 Initial Budget Allocat FTE'!CI$121</f>
        <v>0</v>
      </c>
      <c r="CJ95" s="115">
        <f>'[8]FY20 Initial Budget Allocat (2)'!CJ95/'FY20 Initial Budget Allocat FTE'!CJ$121</f>
        <v>0</v>
      </c>
      <c r="CK95" s="79">
        <v>0</v>
      </c>
      <c r="CL95" s="79">
        <v>0</v>
      </c>
      <c r="CM95" s="79">
        <v>54082.8</v>
      </c>
      <c r="CN95" s="79">
        <v>0</v>
      </c>
      <c r="CO95" s="115">
        <f>'[8]FY20 Initial Budget Allocat (2)'!CO95/'FY20 Initial Budget Allocat FTE'!CO$121</f>
        <v>0</v>
      </c>
      <c r="CP95" s="79">
        <v>0</v>
      </c>
      <c r="CQ95" s="79">
        <v>4197.135135135135</v>
      </c>
      <c r="CR95" s="79">
        <v>0</v>
      </c>
      <c r="CS95" s="79">
        <v>23210.5</v>
      </c>
      <c r="CT95" s="115">
        <f>'[8]FY20 Initial Budget Allocat (2)'!CT95/'FY20 Initial Budget Allocat FTE'!CT$121</f>
        <v>0</v>
      </c>
      <c r="CU95" s="115">
        <f>'[8]FY20 Initial Budget Allocat (2)'!CU95/'FY20 Initial Budget Allocat FTE'!CU$121</f>
        <v>0</v>
      </c>
      <c r="CV95" s="79"/>
      <c r="CW95" s="79">
        <v>0</v>
      </c>
      <c r="CX95" s="115">
        <f>'[8]FY20 Initial Budget Allocat (2)'!CX95/'FY20 Initial Budget Allocat FTE'!CX$121</f>
        <v>0</v>
      </c>
      <c r="CY95" s="79">
        <v>0</v>
      </c>
      <c r="CZ95" s="79">
        <v>0</v>
      </c>
      <c r="DA95" s="79">
        <v>40300</v>
      </c>
      <c r="DB95" s="79">
        <v>102649.95457001164</v>
      </c>
      <c r="DC95" s="82">
        <v>0</v>
      </c>
      <c r="DD95" s="79">
        <v>0</v>
      </c>
      <c r="DE95" s="79"/>
      <c r="DF95" s="79">
        <v>17100</v>
      </c>
      <c r="DG95" s="79">
        <v>0</v>
      </c>
      <c r="DH95" s="83">
        <v>0</v>
      </c>
      <c r="DI95" s="79">
        <v>17054.123636432425</v>
      </c>
      <c r="DJ95" s="79">
        <v>6872811.825482267</v>
      </c>
      <c r="DK95" s="84">
        <v>4.5177331194281578E-3</v>
      </c>
      <c r="DL95" s="84">
        <v>0</v>
      </c>
      <c r="DM95" s="84">
        <f t="shared" si="6"/>
        <v>6872811.8300000001</v>
      </c>
      <c r="DN95" s="116">
        <f t="shared" si="7"/>
        <v>9.0000000000000018</v>
      </c>
      <c r="DO95" s="116">
        <f t="shared" si="8"/>
        <v>9</v>
      </c>
      <c r="DP95" s="116">
        <f t="shared" si="9"/>
        <v>11</v>
      </c>
      <c r="DQ95" s="116">
        <f t="shared" si="10"/>
        <v>18</v>
      </c>
      <c r="DR95" s="116">
        <f t="shared" si="11"/>
        <v>8</v>
      </c>
    </row>
    <row r="96" spans="1:122" x14ac:dyDescent="0.25">
      <c r="A96" s="76">
        <v>313</v>
      </c>
      <c r="B96" s="76" t="s">
        <v>236</v>
      </c>
      <c r="C96" s="77" t="s">
        <v>135</v>
      </c>
      <c r="D96" s="41">
        <v>4</v>
      </c>
      <c r="E96" s="78">
        <v>382</v>
      </c>
      <c r="F96" s="78">
        <v>65.055134881056432</v>
      </c>
      <c r="G96" s="115">
        <f>'[8]FY20 Initial Budget Allocat (2)'!G96/'FY20 Initial Budget Allocat FTE'!G$121</f>
        <v>1</v>
      </c>
      <c r="H96" s="115">
        <f>'[8]FY20 Initial Budget Allocat (2)'!H96/'FY20 Initial Budget Allocat FTE'!H$121</f>
        <v>1</v>
      </c>
      <c r="I96" s="115">
        <f>'[8]FY20 Initial Budget Allocat (2)'!I96/'FY20 Initial Budget Allocat FTE'!I$121</f>
        <v>1</v>
      </c>
      <c r="J96" s="115">
        <f>'[8]FY20 Initial Budget Allocat (2)'!J96/'FY20 Initial Budget Allocat FTE'!J$121</f>
        <v>0</v>
      </c>
      <c r="K96" s="115">
        <f>'[8]FY20 Initial Budget Allocat (2)'!K96/'FY20 Initial Budget Allocat FTE'!K$121</f>
        <v>0</v>
      </c>
      <c r="L96" s="115">
        <f>'[8]FY20 Initial Budget Allocat (2)'!L96/'FY20 Initial Budget Allocat FTE'!L$121</f>
        <v>1</v>
      </c>
      <c r="M96" s="115">
        <f>'[8]FY20 Initial Budget Allocat (2)'!M96/'FY20 Initial Budget Allocat FTE'!M$121</f>
        <v>1</v>
      </c>
      <c r="N96" s="115">
        <f>'[8]FY20 Initial Budget Allocat (2)'!N96/'FY20 Initial Budget Allocat FTE'!N$121</f>
        <v>0</v>
      </c>
      <c r="O96" s="115">
        <f>'[8]FY20 Initial Budget Allocat (2)'!O96/'FY20 Initial Budget Allocat FTE'!O$121</f>
        <v>0</v>
      </c>
      <c r="P96" s="115">
        <f>'[8]FY20 Initial Budget Allocat (2)'!P96/'FY20 Initial Budget Allocat FTE'!P$121</f>
        <v>0</v>
      </c>
      <c r="Q96" s="115">
        <f>'[8]FY20 Initial Budget Allocat (2)'!Q96/'FY20 Initial Budget Allocat FTE'!Q$121</f>
        <v>0</v>
      </c>
      <c r="R96" s="115">
        <f>'[8]FY20 Initial Budget Allocat (2)'!R96/'FY20 Initial Budget Allocat FTE'!R$121</f>
        <v>1</v>
      </c>
      <c r="S96" s="115">
        <f>'[8]FY20 Initial Budget Allocat (2)'!S96/'FY20 Initial Budget Allocat FTE'!S$121</f>
        <v>1</v>
      </c>
      <c r="T96" s="115">
        <f>'[8]FY20 Initial Budget Allocat (2)'!T96/'FY20 Initial Budget Allocat FTE'!T$121</f>
        <v>2</v>
      </c>
      <c r="U96" s="115">
        <f>'[8]FY20 Initial Budget Allocat (2)'!U96/'FY20 Initial Budget Allocat FTE'!U$121</f>
        <v>1</v>
      </c>
      <c r="V96" s="115">
        <f>'[8]FY20 Initial Budget Allocat (2)'!V96/'FY20 Initial Budget Allocat FTE'!V$121</f>
        <v>1</v>
      </c>
      <c r="W96" s="115">
        <f>'[8]FY20 Initial Budget Allocat (2)'!W96/'FY20 Initial Budget Allocat FTE'!W$121</f>
        <v>1</v>
      </c>
      <c r="X96" s="115">
        <f>'[8]FY20 Initial Budget Allocat (2)'!X96/'FY20 Initial Budget Allocat FTE'!X$121</f>
        <v>1</v>
      </c>
      <c r="Y96" s="115">
        <f>'[8]FY20 Initial Budget Allocat (2)'!Y96/'FY20 Initial Budget Allocat FTE'!Y$121</f>
        <v>-3.0673717676069148E-15</v>
      </c>
      <c r="Z96" s="115">
        <f>'[8]FY20 Initial Budget Allocat (2)'!Z96/'FY20 Initial Budget Allocat FTE'!Z$121</f>
        <v>1</v>
      </c>
      <c r="AA96" s="115">
        <f>'[8]FY20 Initial Budget Allocat (2)'!AA96/'FY20 Initial Budget Allocat FTE'!AA$121</f>
        <v>2</v>
      </c>
      <c r="AB96" s="115">
        <f>'[8]FY20 Initial Budget Allocat (2)'!AB96/'FY20 Initial Budget Allocat FTE'!AB$121</f>
        <v>2</v>
      </c>
      <c r="AC96" s="115">
        <f>'[8]FY20 Initial Budget Allocat (2)'!AC96/'FY20 Initial Budget Allocat FTE'!AC$121</f>
        <v>0</v>
      </c>
      <c r="AD96" s="115">
        <f>'[8]FY20 Initial Budget Allocat (2)'!AD96/'FY20 Initial Budget Allocat FTE'!AD$121</f>
        <v>0</v>
      </c>
      <c r="AE96" s="115">
        <f>'[8]FY20 Initial Budget Allocat (2)'!AE96/'FY20 Initial Budget Allocat FTE'!AE$121</f>
        <v>2</v>
      </c>
      <c r="AF96" s="115">
        <f>'[8]FY20 Initial Budget Allocat (2)'!AF96/'FY20 Initial Budget Allocat FTE'!AF$121</f>
        <v>2</v>
      </c>
      <c r="AG96" s="115">
        <f>'[8]FY20 Initial Budget Allocat (2)'!AG96/'FY20 Initial Budget Allocat FTE'!AG$121</f>
        <v>2</v>
      </c>
      <c r="AH96" s="115">
        <f>'[8]FY20 Initial Budget Allocat (2)'!AH96/'FY20 Initial Budget Allocat FTE'!AH$121</f>
        <v>2</v>
      </c>
      <c r="AI96" s="115">
        <f>'[8]FY20 Initial Budget Allocat (2)'!AI96/'FY20 Initial Budget Allocat FTE'!AI$121</f>
        <v>2</v>
      </c>
      <c r="AJ96" s="115">
        <f>'[8]FY20 Initial Budget Allocat (2)'!AJ96/'FY20 Initial Budget Allocat FTE'!AJ$121</f>
        <v>2</v>
      </c>
      <c r="AK96" s="115">
        <f>'[8]FY20 Initial Budget Allocat (2)'!AK96/'FY20 Initial Budget Allocat FTE'!AK$121</f>
        <v>3.0000000000000004</v>
      </c>
      <c r="AL96" s="115">
        <f>'[8]FY20 Initial Budget Allocat (2)'!AL96/'FY20 Initial Budget Allocat FTE'!AL$121</f>
        <v>3.0000000000000004</v>
      </c>
      <c r="AM96" s="115">
        <f>'[8]FY20 Initial Budget Allocat (2)'!AM96/'FY20 Initial Budget Allocat FTE'!AM$121</f>
        <v>2</v>
      </c>
      <c r="AN96" s="115">
        <f>'[8]FY20 Initial Budget Allocat (2)'!AN96/'FY20 Initial Budget Allocat FTE'!AN$121</f>
        <v>0</v>
      </c>
      <c r="AO96" s="115">
        <f>'[8]FY20 Initial Budget Allocat (2)'!AO96/'FY20 Initial Budget Allocat FTE'!AO$121</f>
        <v>0</v>
      </c>
      <c r="AP96" s="115">
        <f>'[8]FY20 Initial Budget Allocat (2)'!AP96/'FY20 Initial Budget Allocat FTE'!AP$121</f>
        <v>0</v>
      </c>
      <c r="AQ96" s="115">
        <f>'[8]FY20 Initial Budget Allocat (2)'!AQ96/'FY20 Initial Budget Allocat FTE'!AQ$121</f>
        <v>0</v>
      </c>
      <c r="AR96" s="115">
        <f>'[8]FY20 Initial Budget Allocat (2)'!AR96/'FY20 Initial Budget Allocat FTE'!AR$121</f>
        <v>0</v>
      </c>
      <c r="AS96" s="115">
        <f>'[8]FY20 Initial Budget Allocat (2)'!AS96/'FY20 Initial Budget Allocat FTE'!AS$121</f>
        <v>0</v>
      </c>
      <c r="AT96" s="115">
        <f>'[8]FY20 Initial Budget Allocat (2)'!AT96/'FY20 Initial Budget Allocat FTE'!AT$121</f>
        <v>0</v>
      </c>
      <c r="AU96" s="115">
        <f>'[8]FY20 Initial Budget Allocat (2)'!AU96/'FY20 Initial Budget Allocat FTE'!AU$121</f>
        <v>0</v>
      </c>
      <c r="AV96" s="115">
        <f>'[8]FY20 Initial Budget Allocat (2)'!AV96/'FY20 Initial Budget Allocat FTE'!AV$121</f>
        <v>0</v>
      </c>
      <c r="AW96" s="115">
        <f>'[8]FY20 Initial Budget Allocat (2)'!AW96/'FY20 Initial Budget Allocat FTE'!AW$121</f>
        <v>0</v>
      </c>
      <c r="AX96" s="115">
        <f>'[8]FY20 Initial Budget Allocat (2)'!AX96/'FY20 Initial Budget Allocat FTE'!AX$121</f>
        <v>0.5</v>
      </c>
      <c r="AY96" s="115">
        <f>'[8]FY20 Initial Budget Allocat (2)'!AY96/'FY20 Initial Budget Allocat FTE'!AY$121</f>
        <v>1</v>
      </c>
      <c r="AZ96" s="115">
        <f>'[8]FY20 Initial Budget Allocat (2)'!AZ96/'FY20 Initial Budget Allocat FTE'!AZ$121</f>
        <v>2</v>
      </c>
      <c r="BA96" s="115">
        <f>'[8]FY20 Initial Budget Allocat (2)'!BA96/'FY20 Initial Budget Allocat FTE'!BA$121</f>
        <v>0</v>
      </c>
      <c r="BB96" s="115">
        <f>'[8]FY20 Initial Budget Allocat (2)'!BB96/'FY20 Initial Budget Allocat FTE'!BB$121</f>
        <v>0</v>
      </c>
      <c r="BC96" s="115">
        <f>'[8]FY20 Initial Budget Allocat (2)'!BC96/'FY20 Initial Budget Allocat FTE'!BC$121</f>
        <v>0</v>
      </c>
      <c r="BD96" s="115">
        <f>'[8]FY20 Initial Budget Allocat (2)'!BD96/'FY20 Initial Budget Allocat FTE'!BD$121</f>
        <v>2</v>
      </c>
      <c r="BE96" s="115">
        <f>'[8]FY20 Initial Budget Allocat (2)'!BE96/'FY20 Initial Budget Allocat FTE'!BE$121</f>
        <v>0</v>
      </c>
      <c r="BF96" s="115">
        <f>'[8]FY20 Initial Budget Allocat (2)'!BF96/'FY20 Initial Budget Allocat FTE'!BF$121</f>
        <v>0</v>
      </c>
      <c r="BG96" s="115">
        <f>'[8]FY20 Initial Budget Allocat (2)'!BG96/'FY20 Initial Budget Allocat FTE'!BG$121</f>
        <v>0</v>
      </c>
      <c r="BH96" s="115">
        <f>'[8]FY20 Initial Budget Allocat (2)'!BH96/'FY20 Initial Budget Allocat FTE'!BH$121</f>
        <v>0</v>
      </c>
      <c r="BI96" s="115">
        <f>'[8]FY20 Initial Budget Allocat (2)'!BI96/'FY20 Initial Budget Allocat FTE'!BI$121</f>
        <v>0</v>
      </c>
      <c r="BJ96" s="79"/>
      <c r="BK96" s="79">
        <v>0</v>
      </c>
      <c r="BL96" s="79"/>
      <c r="BM96" s="79">
        <v>0</v>
      </c>
      <c r="BN96" s="79">
        <v>0</v>
      </c>
      <c r="BO96" s="79">
        <v>8825</v>
      </c>
      <c r="BP96" s="115">
        <f>'[8]FY20 Initial Budget Allocat (2)'!BP96/'FY20 Initial Budget Allocat FTE'!BP$121</f>
        <v>1</v>
      </c>
      <c r="BQ96" s="115">
        <f>'[8]FY20 Initial Budget Allocat (2)'!BQ96/'FY20 Initial Budget Allocat FTE'!BQ$121</f>
        <v>0</v>
      </c>
      <c r="BR96" s="115">
        <f>'[8]FY20 Initial Budget Allocat (2)'!BR96/'FY20 Initial Budget Allocat FTE'!BR$121</f>
        <v>0</v>
      </c>
      <c r="BS96" s="115">
        <f>'[8]FY20 Initial Budget Allocat (2)'!BS96/'FY20 Initial Budget Allocat FTE'!BS$121</f>
        <v>0</v>
      </c>
      <c r="BT96" s="115">
        <f>'[8]FY20 Initial Budget Allocat (2)'!BT96/'FY20 Initial Budget Allocat FTE'!BT$121</f>
        <v>0</v>
      </c>
      <c r="BU96" s="115">
        <f>'[8]FY20 Initial Budget Allocat (2)'!BU96/'FY20 Initial Budget Allocat FTE'!BU$121</f>
        <v>0</v>
      </c>
      <c r="BV96" s="115">
        <f>'[8]FY20 Initial Budget Allocat (2)'!BV96/'FY20 Initial Budget Allocat FTE'!BV$121</f>
        <v>0</v>
      </c>
      <c r="BW96" s="80">
        <v>0</v>
      </c>
      <c r="BX96" s="80">
        <v>0</v>
      </c>
      <c r="BY96" s="80">
        <v>0</v>
      </c>
      <c r="BZ96" s="80">
        <v>0</v>
      </c>
      <c r="CA96" s="115">
        <f>'[8]FY20 Initial Budget Allocat (2)'!CA96/'FY20 Initial Budget Allocat FTE'!CA$121</f>
        <v>0</v>
      </c>
      <c r="CB96" s="115">
        <f>'[8]FY20 Initial Budget Allocat (2)'!CB96/'FY20 Initial Budget Allocat FTE'!CB$121</f>
        <v>0</v>
      </c>
      <c r="CC96" s="80">
        <v>0</v>
      </c>
      <c r="CD96" s="115">
        <f>'[8]FY20 Initial Budget Allocat (2)'!CD96/'FY20 Initial Budget Allocat FTE'!CD$121</f>
        <v>0</v>
      </c>
      <c r="CE96" s="115">
        <f>'[8]FY20 Initial Budget Allocat (2)'!CE96/'FY20 Initial Budget Allocat FTE'!CE$121</f>
        <v>0</v>
      </c>
      <c r="CF96" s="115">
        <f>'[8]FY20 Initial Budget Allocat (2)'!CF96/'FY20 Initial Budget Allocat FTE'!CF$121</f>
        <v>0</v>
      </c>
      <c r="CG96" s="115">
        <f>'[8]FY20 Initial Budget Allocat (2)'!CG96/'FY20 Initial Budget Allocat FTE'!CG$121</f>
        <v>0</v>
      </c>
      <c r="CH96" s="115">
        <f>'[8]FY20 Initial Budget Allocat (2)'!CH96/'FY20 Initial Budget Allocat FTE'!CH$121</f>
        <v>0</v>
      </c>
      <c r="CI96" s="115">
        <f>'[8]FY20 Initial Budget Allocat (2)'!CI96/'FY20 Initial Budget Allocat FTE'!CI$121</f>
        <v>0</v>
      </c>
      <c r="CJ96" s="115">
        <f>'[8]FY20 Initial Budget Allocat (2)'!CJ96/'FY20 Initial Budget Allocat FTE'!CJ$121</f>
        <v>0</v>
      </c>
      <c r="CK96" s="79">
        <v>0</v>
      </c>
      <c r="CL96" s="79">
        <v>0</v>
      </c>
      <c r="CM96" s="79">
        <v>54082.8</v>
      </c>
      <c r="CN96" s="79">
        <v>0</v>
      </c>
      <c r="CO96" s="115">
        <f>'[8]FY20 Initial Budget Allocat (2)'!CO96/'FY20 Initial Budget Allocat FTE'!CO$121</f>
        <v>0</v>
      </c>
      <c r="CP96" s="79">
        <v>0</v>
      </c>
      <c r="CQ96" s="79">
        <v>0</v>
      </c>
      <c r="CR96" s="79">
        <v>0</v>
      </c>
      <c r="CS96" s="79">
        <v>22114.674999999999</v>
      </c>
      <c r="CT96" s="115">
        <f>'[8]FY20 Initial Budget Allocat (2)'!CT96/'FY20 Initial Budget Allocat FTE'!CT$121</f>
        <v>0</v>
      </c>
      <c r="CU96" s="115">
        <f>'[8]FY20 Initial Budget Allocat (2)'!CU96/'FY20 Initial Budget Allocat FTE'!CU$121</f>
        <v>0</v>
      </c>
      <c r="CV96" s="79"/>
      <c r="CW96" s="79">
        <v>0</v>
      </c>
      <c r="CX96" s="115">
        <f>'[8]FY20 Initial Budget Allocat (2)'!CX96/'FY20 Initial Budget Allocat FTE'!CX$121</f>
        <v>0</v>
      </c>
      <c r="CY96" s="79">
        <v>0</v>
      </c>
      <c r="CZ96" s="79">
        <v>0</v>
      </c>
      <c r="DA96" s="79">
        <v>38200</v>
      </c>
      <c r="DB96" s="79">
        <v>67730.783133853169</v>
      </c>
      <c r="DC96" s="82">
        <v>0</v>
      </c>
      <c r="DD96" s="79">
        <v>16454</v>
      </c>
      <c r="DE96" s="79"/>
      <c r="DF96" s="79">
        <v>4350</v>
      </c>
      <c r="DG96" s="79">
        <v>0</v>
      </c>
      <c r="DH96" s="83">
        <v>0</v>
      </c>
      <c r="DI96" s="79">
        <v>11567.115701897206</v>
      </c>
      <c r="DJ96" s="79">
        <v>4418638.1981247328</v>
      </c>
      <c r="DK96" s="84">
        <v>109114.80187526718</v>
      </c>
      <c r="DL96" s="84">
        <v>0</v>
      </c>
      <c r="DM96" s="84">
        <f t="shared" si="6"/>
        <v>4527753</v>
      </c>
      <c r="DN96" s="116">
        <f t="shared" si="7"/>
        <v>6</v>
      </c>
      <c r="DO96" s="116">
        <f t="shared" si="8"/>
        <v>6</v>
      </c>
      <c r="DP96" s="116">
        <f t="shared" si="9"/>
        <v>12</v>
      </c>
      <c r="DQ96" s="116">
        <f t="shared" si="10"/>
        <v>5.5</v>
      </c>
      <c r="DR96" s="116">
        <f t="shared" si="11"/>
        <v>0</v>
      </c>
    </row>
    <row r="97" spans="1:122" x14ac:dyDescent="0.25">
      <c r="A97" s="76">
        <v>315</v>
      </c>
      <c r="B97" s="76" t="s">
        <v>237</v>
      </c>
      <c r="C97" s="77" t="s">
        <v>135</v>
      </c>
      <c r="D97" s="41">
        <v>8</v>
      </c>
      <c r="E97" s="78">
        <v>246</v>
      </c>
      <c r="F97" s="78">
        <v>193.37358490566038</v>
      </c>
      <c r="G97" s="115">
        <f>'[8]FY20 Initial Budget Allocat (2)'!G97/'FY20 Initial Budget Allocat FTE'!G$121</f>
        <v>1</v>
      </c>
      <c r="H97" s="115">
        <f>'[8]FY20 Initial Budget Allocat (2)'!H97/'FY20 Initial Budget Allocat FTE'!H$121</f>
        <v>1</v>
      </c>
      <c r="I97" s="115">
        <f>'[8]FY20 Initial Budget Allocat (2)'!I97/'FY20 Initial Budget Allocat FTE'!I$121</f>
        <v>0</v>
      </c>
      <c r="J97" s="115">
        <f>'[8]FY20 Initial Budget Allocat (2)'!J97/'FY20 Initial Budget Allocat FTE'!J$121</f>
        <v>0</v>
      </c>
      <c r="K97" s="115">
        <f>'[8]FY20 Initial Budget Allocat (2)'!K97/'FY20 Initial Budget Allocat FTE'!K$121</f>
        <v>0</v>
      </c>
      <c r="L97" s="115">
        <f>'[8]FY20 Initial Budget Allocat (2)'!L97/'FY20 Initial Budget Allocat FTE'!L$121</f>
        <v>0.5</v>
      </c>
      <c r="M97" s="115">
        <f>'[8]FY20 Initial Budget Allocat (2)'!M97/'FY20 Initial Budget Allocat FTE'!M$121</f>
        <v>1</v>
      </c>
      <c r="N97" s="115">
        <f>'[8]FY20 Initial Budget Allocat (2)'!N97/'FY20 Initial Budget Allocat FTE'!N$121</f>
        <v>0</v>
      </c>
      <c r="O97" s="115">
        <f>'[8]FY20 Initial Budget Allocat (2)'!O97/'FY20 Initial Budget Allocat FTE'!O$121</f>
        <v>0</v>
      </c>
      <c r="P97" s="115">
        <f>'[8]FY20 Initial Budget Allocat (2)'!P97/'FY20 Initial Budget Allocat FTE'!P$121</f>
        <v>0</v>
      </c>
      <c r="Q97" s="115">
        <f>'[8]FY20 Initial Budget Allocat (2)'!Q97/'FY20 Initial Budget Allocat FTE'!Q$121</f>
        <v>0</v>
      </c>
      <c r="R97" s="115">
        <f>'[8]FY20 Initial Budget Allocat (2)'!R97/'FY20 Initial Budget Allocat FTE'!R$121</f>
        <v>1</v>
      </c>
      <c r="S97" s="115">
        <f>'[8]FY20 Initial Budget Allocat (2)'!S97/'FY20 Initial Budget Allocat FTE'!S$121</f>
        <v>1</v>
      </c>
      <c r="T97" s="115">
        <f>'[8]FY20 Initial Budget Allocat (2)'!T97/'FY20 Initial Budget Allocat FTE'!T$121</f>
        <v>1</v>
      </c>
      <c r="U97" s="115">
        <f>'[8]FY20 Initial Budget Allocat (2)'!U97/'FY20 Initial Budget Allocat FTE'!U$121</f>
        <v>0.5</v>
      </c>
      <c r="V97" s="115">
        <f>'[8]FY20 Initial Budget Allocat (2)'!V97/'FY20 Initial Budget Allocat FTE'!V$121</f>
        <v>1</v>
      </c>
      <c r="W97" s="115">
        <f>'[8]FY20 Initial Budget Allocat (2)'!W97/'FY20 Initial Budget Allocat FTE'!W$121</f>
        <v>1</v>
      </c>
      <c r="X97" s="115">
        <f>'[8]FY20 Initial Budget Allocat (2)'!X97/'FY20 Initial Budget Allocat FTE'!X$121</f>
        <v>1</v>
      </c>
      <c r="Y97" s="115">
        <f>'[8]FY20 Initial Budget Allocat (2)'!Y97/'FY20 Initial Budget Allocat FTE'!Y$121</f>
        <v>0</v>
      </c>
      <c r="Z97" s="115">
        <f>'[8]FY20 Initial Budget Allocat (2)'!Z97/'FY20 Initial Budget Allocat FTE'!Z$121</f>
        <v>0</v>
      </c>
      <c r="AA97" s="115">
        <f>'[8]FY20 Initial Budget Allocat (2)'!AA97/'FY20 Initial Budget Allocat FTE'!AA$121</f>
        <v>1</v>
      </c>
      <c r="AB97" s="115">
        <f>'[8]FY20 Initial Budget Allocat (2)'!AB97/'FY20 Initial Budget Allocat FTE'!AB$121</f>
        <v>1</v>
      </c>
      <c r="AC97" s="115">
        <f>'[8]FY20 Initial Budget Allocat (2)'!AC97/'FY20 Initial Budget Allocat FTE'!AC$121</f>
        <v>1</v>
      </c>
      <c r="AD97" s="115">
        <f>'[8]FY20 Initial Budget Allocat (2)'!AD97/'FY20 Initial Budget Allocat FTE'!AD$121</f>
        <v>1</v>
      </c>
      <c r="AE97" s="115">
        <f>'[8]FY20 Initial Budget Allocat (2)'!AE97/'FY20 Initial Budget Allocat FTE'!AE$121</f>
        <v>1</v>
      </c>
      <c r="AF97" s="115">
        <f>'[8]FY20 Initial Budget Allocat (2)'!AF97/'FY20 Initial Budget Allocat FTE'!AF$121</f>
        <v>1</v>
      </c>
      <c r="AG97" s="115">
        <f>'[8]FY20 Initial Budget Allocat (2)'!AG97/'FY20 Initial Budget Allocat FTE'!AG$121</f>
        <v>2</v>
      </c>
      <c r="AH97" s="115">
        <f>'[8]FY20 Initial Budget Allocat (2)'!AH97/'FY20 Initial Budget Allocat FTE'!AH$121</f>
        <v>2</v>
      </c>
      <c r="AI97" s="115">
        <f>'[8]FY20 Initial Budget Allocat (2)'!AI97/'FY20 Initial Budget Allocat FTE'!AI$121</f>
        <v>2</v>
      </c>
      <c r="AJ97" s="115">
        <f>'[8]FY20 Initial Budget Allocat (2)'!AJ97/'FY20 Initial Budget Allocat FTE'!AJ$121</f>
        <v>2</v>
      </c>
      <c r="AK97" s="115">
        <f>'[8]FY20 Initial Budget Allocat (2)'!AK97/'FY20 Initial Budget Allocat FTE'!AK$121</f>
        <v>2</v>
      </c>
      <c r="AL97" s="115">
        <f>'[8]FY20 Initial Budget Allocat (2)'!AL97/'FY20 Initial Budget Allocat FTE'!AL$121</f>
        <v>2</v>
      </c>
      <c r="AM97" s="115">
        <f>'[8]FY20 Initial Budget Allocat (2)'!AM97/'FY20 Initial Budget Allocat FTE'!AM$121</f>
        <v>2</v>
      </c>
      <c r="AN97" s="115">
        <f>'[8]FY20 Initial Budget Allocat (2)'!AN97/'FY20 Initial Budget Allocat FTE'!AN$121</f>
        <v>0</v>
      </c>
      <c r="AO97" s="115">
        <f>'[8]FY20 Initial Budget Allocat (2)'!AO97/'FY20 Initial Budget Allocat FTE'!AO$121</f>
        <v>0</v>
      </c>
      <c r="AP97" s="115">
        <f>'[8]FY20 Initial Budget Allocat (2)'!AP97/'FY20 Initial Budget Allocat FTE'!AP$121</f>
        <v>0</v>
      </c>
      <c r="AQ97" s="115">
        <f>'[8]FY20 Initial Budget Allocat (2)'!AQ97/'FY20 Initial Budget Allocat FTE'!AQ$121</f>
        <v>0</v>
      </c>
      <c r="AR97" s="115">
        <f>'[8]FY20 Initial Budget Allocat (2)'!AR97/'FY20 Initial Budget Allocat FTE'!AR$121</f>
        <v>0</v>
      </c>
      <c r="AS97" s="115">
        <f>'[8]FY20 Initial Budget Allocat (2)'!AS97/'FY20 Initial Budget Allocat FTE'!AS$121</f>
        <v>0</v>
      </c>
      <c r="AT97" s="115">
        <f>'[8]FY20 Initial Budget Allocat (2)'!AT97/'FY20 Initial Budget Allocat FTE'!AT$121</f>
        <v>0</v>
      </c>
      <c r="AU97" s="115">
        <f>'[8]FY20 Initial Budget Allocat (2)'!AU97/'FY20 Initial Budget Allocat FTE'!AU$121</f>
        <v>0</v>
      </c>
      <c r="AV97" s="115">
        <f>'[8]FY20 Initial Budget Allocat (2)'!AV97/'FY20 Initial Budget Allocat FTE'!AV$121</f>
        <v>0</v>
      </c>
      <c r="AW97" s="115">
        <f>'[8]FY20 Initial Budget Allocat (2)'!AW97/'FY20 Initial Budget Allocat FTE'!AW$121</f>
        <v>0</v>
      </c>
      <c r="AX97" s="115">
        <f>'[8]FY20 Initial Budget Allocat (2)'!AX97/'FY20 Initial Budget Allocat FTE'!AX$121</f>
        <v>1</v>
      </c>
      <c r="AY97" s="115">
        <f>'[8]FY20 Initial Budget Allocat (2)'!AY97/'FY20 Initial Budget Allocat FTE'!AY$121</f>
        <v>1</v>
      </c>
      <c r="AZ97" s="115">
        <f>'[8]FY20 Initial Budget Allocat (2)'!AZ97/'FY20 Initial Budget Allocat FTE'!AZ$121</f>
        <v>4</v>
      </c>
      <c r="BA97" s="115">
        <f>'[8]FY20 Initial Budget Allocat (2)'!BA97/'FY20 Initial Budget Allocat FTE'!BA$121</f>
        <v>2</v>
      </c>
      <c r="BB97" s="115">
        <f>'[8]FY20 Initial Budget Allocat (2)'!BB97/'FY20 Initial Budget Allocat FTE'!BB$121</f>
        <v>0</v>
      </c>
      <c r="BC97" s="115">
        <f>'[8]FY20 Initial Budget Allocat (2)'!BC97/'FY20 Initial Budget Allocat FTE'!BC$121</f>
        <v>0</v>
      </c>
      <c r="BD97" s="115">
        <f>'[8]FY20 Initial Budget Allocat (2)'!BD97/'FY20 Initial Budget Allocat FTE'!BD$121</f>
        <v>0.27272727272727271</v>
      </c>
      <c r="BE97" s="115">
        <f>'[8]FY20 Initial Budget Allocat (2)'!BE97/'FY20 Initial Budget Allocat FTE'!BE$121</f>
        <v>0</v>
      </c>
      <c r="BF97" s="115">
        <f>'[8]FY20 Initial Budget Allocat (2)'!BF97/'FY20 Initial Budget Allocat FTE'!BF$121</f>
        <v>0</v>
      </c>
      <c r="BG97" s="115">
        <f>'[8]FY20 Initial Budget Allocat (2)'!BG97/'FY20 Initial Budget Allocat FTE'!BG$121</f>
        <v>0</v>
      </c>
      <c r="BH97" s="115">
        <f>'[8]FY20 Initial Budget Allocat (2)'!BH97/'FY20 Initial Budget Allocat FTE'!BH$121</f>
        <v>0</v>
      </c>
      <c r="BI97" s="115">
        <f>'[8]FY20 Initial Budget Allocat (2)'!BI97/'FY20 Initial Budget Allocat FTE'!BI$121</f>
        <v>0</v>
      </c>
      <c r="BJ97" s="79"/>
      <c r="BK97" s="79">
        <v>0</v>
      </c>
      <c r="BL97" s="79"/>
      <c r="BM97" s="79">
        <v>130256.62</v>
      </c>
      <c r="BN97" s="79">
        <v>2072.7199999999998</v>
      </c>
      <c r="BO97" s="79">
        <v>0</v>
      </c>
      <c r="BP97" s="115">
        <f>'[8]FY20 Initial Budget Allocat (2)'!BP97/'FY20 Initial Budget Allocat FTE'!BP$121</f>
        <v>0</v>
      </c>
      <c r="BQ97" s="115">
        <f>'[8]FY20 Initial Budget Allocat (2)'!BQ97/'FY20 Initial Budget Allocat FTE'!BQ$121</f>
        <v>0</v>
      </c>
      <c r="BR97" s="115">
        <f>'[8]FY20 Initial Budget Allocat (2)'!BR97/'FY20 Initial Budget Allocat FTE'!BR$121</f>
        <v>0</v>
      </c>
      <c r="BS97" s="115">
        <f>'[8]FY20 Initial Budget Allocat (2)'!BS97/'FY20 Initial Budget Allocat FTE'!BS$121</f>
        <v>0</v>
      </c>
      <c r="BT97" s="115">
        <f>'[8]FY20 Initial Budget Allocat (2)'!BT97/'FY20 Initial Budget Allocat FTE'!BT$121</f>
        <v>0</v>
      </c>
      <c r="BU97" s="115">
        <f>'[8]FY20 Initial Budget Allocat (2)'!BU97/'FY20 Initial Budget Allocat FTE'!BU$121</f>
        <v>0</v>
      </c>
      <c r="BV97" s="115">
        <f>'[8]FY20 Initial Budget Allocat (2)'!BV97/'FY20 Initial Budget Allocat FTE'!BV$121</f>
        <v>0</v>
      </c>
      <c r="BW97" s="80">
        <v>0</v>
      </c>
      <c r="BX97" s="80">
        <v>0</v>
      </c>
      <c r="BY97" s="80">
        <v>0</v>
      </c>
      <c r="BZ97" s="80">
        <v>0</v>
      </c>
      <c r="CA97" s="115">
        <f>'[8]FY20 Initial Budget Allocat (2)'!CA97/'FY20 Initial Budget Allocat FTE'!CA$121</f>
        <v>0</v>
      </c>
      <c r="CB97" s="115">
        <f>'[8]FY20 Initial Budget Allocat (2)'!CB97/'FY20 Initial Budget Allocat FTE'!CB$121</f>
        <v>0</v>
      </c>
      <c r="CC97" s="80">
        <v>0</v>
      </c>
      <c r="CD97" s="115">
        <f>'[8]FY20 Initial Budget Allocat (2)'!CD97/'FY20 Initial Budget Allocat FTE'!CD$121</f>
        <v>0</v>
      </c>
      <c r="CE97" s="115">
        <f>'[8]FY20 Initial Budget Allocat (2)'!CE97/'FY20 Initial Budget Allocat FTE'!CE$121</f>
        <v>0</v>
      </c>
      <c r="CF97" s="115">
        <f>'[8]FY20 Initial Budget Allocat (2)'!CF97/'FY20 Initial Budget Allocat FTE'!CF$121</f>
        <v>0</v>
      </c>
      <c r="CG97" s="115">
        <f>'[8]FY20 Initial Budget Allocat (2)'!CG97/'FY20 Initial Budget Allocat FTE'!CG$121</f>
        <v>0</v>
      </c>
      <c r="CH97" s="115">
        <f>'[8]FY20 Initial Budget Allocat (2)'!CH97/'FY20 Initial Budget Allocat FTE'!CH$121</f>
        <v>0</v>
      </c>
      <c r="CI97" s="115">
        <f>'[8]FY20 Initial Budget Allocat (2)'!CI97/'FY20 Initial Budget Allocat FTE'!CI$121</f>
        <v>0</v>
      </c>
      <c r="CJ97" s="115">
        <f>'[8]FY20 Initial Budget Allocat (2)'!CJ97/'FY20 Initial Budget Allocat FTE'!CJ$121</f>
        <v>0</v>
      </c>
      <c r="CK97" s="79">
        <v>0</v>
      </c>
      <c r="CL97" s="79">
        <v>0</v>
      </c>
      <c r="CM97" s="79">
        <v>54082.8</v>
      </c>
      <c r="CN97" s="79">
        <v>0</v>
      </c>
      <c r="CO97" s="115">
        <f>'[8]FY20 Initial Budget Allocat (2)'!CO97/'FY20 Initial Budget Allocat FTE'!CO$121</f>
        <v>0</v>
      </c>
      <c r="CP97" s="79">
        <v>0</v>
      </c>
      <c r="CQ97" s="79">
        <v>7734.9433962264156</v>
      </c>
      <c r="CR97" s="79">
        <v>41760</v>
      </c>
      <c r="CS97" s="79">
        <v>15170.415384615384</v>
      </c>
      <c r="CT97" s="115">
        <f>'[8]FY20 Initial Budget Allocat (2)'!CT97/'FY20 Initial Budget Allocat FTE'!CT$121</f>
        <v>0</v>
      </c>
      <c r="CU97" s="115">
        <f>'[8]FY20 Initial Budget Allocat (2)'!CU97/'FY20 Initial Budget Allocat FTE'!CU$121</f>
        <v>0</v>
      </c>
      <c r="CV97" s="79"/>
      <c r="CW97" s="79">
        <v>0</v>
      </c>
      <c r="CX97" s="115">
        <f>'[8]FY20 Initial Budget Allocat (2)'!CX97/'FY20 Initial Budget Allocat FTE'!CX$121</f>
        <v>0</v>
      </c>
      <c r="CY97" s="79">
        <v>0</v>
      </c>
      <c r="CZ97" s="79">
        <v>0</v>
      </c>
      <c r="DA97" s="79">
        <v>24600</v>
      </c>
      <c r="DB97" s="79">
        <v>57010.104565401838</v>
      </c>
      <c r="DC97" s="82">
        <v>0</v>
      </c>
      <c r="DD97" s="79">
        <v>15363.214285714286</v>
      </c>
      <c r="DE97" s="79"/>
      <c r="DF97" s="79">
        <v>22800</v>
      </c>
      <c r="DG97" s="79">
        <v>0</v>
      </c>
      <c r="DH97" s="83">
        <v>0</v>
      </c>
      <c r="DI97" s="79">
        <v>15732.077647143453</v>
      </c>
      <c r="DJ97" s="79">
        <v>3870091.1011972902</v>
      </c>
      <c r="DK97" s="84">
        <v>109114.89880270977</v>
      </c>
      <c r="DL97" s="84">
        <v>0</v>
      </c>
      <c r="DM97" s="84">
        <f t="shared" si="6"/>
        <v>3979206</v>
      </c>
      <c r="DN97" s="116">
        <f t="shared" si="7"/>
        <v>5</v>
      </c>
      <c r="DO97" s="116">
        <f t="shared" si="8"/>
        <v>5</v>
      </c>
      <c r="DP97" s="116">
        <f t="shared" si="9"/>
        <v>10</v>
      </c>
      <c r="DQ97" s="116">
        <f t="shared" si="10"/>
        <v>6.2727272727272725</v>
      </c>
      <c r="DR97" s="116">
        <f t="shared" si="11"/>
        <v>2</v>
      </c>
    </row>
    <row r="98" spans="1:122" x14ac:dyDescent="0.25">
      <c r="A98" s="76">
        <v>322</v>
      </c>
      <c r="B98" s="76" t="s">
        <v>238</v>
      </c>
      <c r="C98" s="77" t="s">
        <v>135</v>
      </c>
      <c r="D98" s="41">
        <v>7</v>
      </c>
      <c r="E98" s="78">
        <v>245</v>
      </c>
      <c r="F98" s="78">
        <v>196.02702702702703</v>
      </c>
      <c r="G98" s="115">
        <f>'[8]FY20 Initial Budget Allocat (2)'!G98/'FY20 Initial Budget Allocat FTE'!G$121</f>
        <v>1</v>
      </c>
      <c r="H98" s="115">
        <f>'[8]FY20 Initial Budget Allocat (2)'!H98/'FY20 Initial Budget Allocat FTE'!H$121</f>
        <v>1</v>
      </c>
      <c r="I98" s="115">
        <f>'[8]FY20 Initial Budget Allocat (2)'!I98/'FY20 Initial Budget Allocat FTE'!I$121</f>
        <v>0</v>
      </c>
      <c r="J98" s="115">
        <f>'[8]FY20 Initial Budget Allocat (2)'!J98/'FY20 Initial Budget Allocat FTE'!J$121</f>
        <v>0</v>
      </c>
      <c r="K98" s="115">
        <f>'[8]FY20 Initial Budget Allocat (2)'!K98/'FY20 Initial Budget Allocat FTE'!K$121</f>
        <v>0</v>
      </c>
      <c r="L98" s="115">
        <f>'[8]FY20 Initial Budget Allocat (2)'!L98/'FY20 Initial Budget Allocat FTE'!L$121</f>
        <v>0.5</v>
      </c>
      <c r="M98" s="115">
        <f>'[8]FY20 Initial Budget Allocat (2)'!M98/'FY20 Initial Budget Allocat FTE'!M$121</f>
        <v>1</v>
      </c>
      <c r="N98" s="115">
        <f>'[8]FY20 Initial Budget Allocat (2)'!N98/'FY20 Initial Budget Allocat FTE'!N$121</f>
        <v>0</v>
      </c>
      <c r="O98" s="115">
        <f>'[8]FY20 Initial Budget Allocat (2)'!O98/'FY20 Initial Budget Allocat FTE'!O$121</f>
        <v>0</v>
      </c>
      <c r="P98" s="115">
        <f>'[8]FY20 Initial Budget Allocat (2)'!P98/'FY20 Initial Budget Allocat FTE'!P$121</f>
        <v>0</v>
      </c>
      <c r="Q98" s="115">
        <f>'[8]FY20 Initial Budget Allocat (2)'!Q98/'FY20 Initial Budget Allocat FTE'!Q$121</f>
        <v>0</v>
      </c>
      <c r="R98" s="115">
        <f>'[8]FY20 Initial Budget Allocat (2)'!R98/'FY20 Initial Budget Allocat FTE'!R$121</f>
        <v>1</v>
      </c>
      <c r="S98" s="115">
        <f>'[8]FY20 Initial Budget Allocat (2)'!S98/'FY20 Initial Budget Allocat FTE'!S$121</f>
        <v>1</v>
      </c>
      <c r="T98" s="115">
        <f>'[8]FY20 Initial Budget Allocat (2)'!T98/'FY20 Initial Budget Allocat FTE'!T$121</f>
        <v>1</v>
      </c>
      <c r="U98" s="115">
        <f>'[8]FY20 Initial Budget Allocat (2)'!U98/'FY20 Initial Budget Allocat FTE'!U$121</f>
        <v>0.5</v>
      </c>
      <c r="V98" s="115">
        <f>'[8]FY20 Initial Budget Allocat (2)'!V98/'FY20 Initial Budget Allocat FTE'!V$121</f>
        <v>1</v>
      </c>
      <c r="W98" s="115">
        <f>'[8]FY20 Initial Budget Allocat (2)'!W98/'FY20 Initial Budget Allocat FTE'!W$121</f>
        <v>1</v>
      </c>
      <c r="X98" s="115">
        <f>'[8]FY20 Initial Budget Allocat (2)'!X98/'FY20 Initial Budget Allocat FTE'!X$121</f>
        <v>1</v>
      </c>
      <c r="Y98" s="115">
        <f>'[8]FY20 Initial Budget Allocat (2)'!Y98/'FY20 Initial Budget Allocat FTE'!Y$121</f>
        <v>0</v>
      </c>
      <c r="Z98" s="115">
        <f>'[8]FY20 Initial Budget Allocat (2)'!Z98/'FY20 Initial Budget Allocat FTE'!Z$121</f>
        <v>0</v>
      </c>
      <c r="AA98" s="115">
        <f>'[8]FY20 Initial Budget Allocat (2)'!AA98/'FY20 Initial Budget Allocat FTE'!AA$121</f>
        <v>2</v>
      </c>
      <c r="AB98" s="115">
        <f>'[8]FY20 Initial Budget Allocat (2)'!AB98/'FY20 Initial Budget Allocat FTE'!AB$121</f>
        <v>2</v>
      </c>
      <c r="AC98" s="115">
        <f>'[8]FY20 Initial Budget Allocat (2)'!AC98/'FY20 Initial Budget Allocat FTE'!AC$121</f>
        <v>0</v>
      </c>
      <c r="AD98" s="115">
        <f>'[8]FY20 Initial Budget Allocat (2)'!AD98/'FY20 Initial Budget Allocat FTE'!AD$121</f>
        <v>0</v>
      </c>
      <c r="AE98" s="115">
        <f>'[8]FY20 Initial Budget Allocat (2)'!AE98/'FY20 Initial Budget Allocat FTE'!AE$121</f>
        <v>2</v>
      </c>
      <c r="AF98" s="115">
        <f>'[8]FY20 Initial Budget Allocat (2)'!AF98/'FY20 Initial Budget Allocat FTE'!AF$121</f>
        <v>2</v>
      </c>
      <c r="AG98" s="115">
        <f>'[8]FY20 Initial Budget Allocat (2)'!AG98/'FY20 Initial Budget Allocat FTE'!AG$121</f>
        <v>2</v>
      </c>
      <c r="AH98" s="115">
        <f>'[8]FY20 Initial Budget Allocat (2)'!AH98/'FY20 Initial Budget Allocat FTE'!AH$121</f>
        <v>2</v>
      </c>
      <c r="AI98" s="115">
        <f>'[8]FY20 Initial Budget Allocat (2)'!AI98/'FY20 Initial Budget Allocat FTE'!AI$121</f>
        <v>2</v>
      </c>
      <c r="AJ98" s="115">
        <f>'[8]FY20 Initial Budget Allocat (2)'!AJ98/'FY20 Initial Budget Allocat FTE'!AJ$121</f>
        <v>2</v>
      </c>
      <c r="AK98" s="115">
        <f>'[8]FY20 Initial Budget Allocat (2)'!AK98/'FY20 Initial Budget Allocat FTE'!AK$121</f>
        <v>2</v>
      </c>
      <c r="AL98" s="115">
        <f>'[8]FY20 Initial Budget Allocat (2)'!AL98/'FY20 Initial Budget Allocat FTE'!AL$121</f>
        <v>1</v>
      </c>
      <c r="AM98" s="115">
        <f>'[8]FY20 Initial Budget Allocat (2)'!AM98/'FY20 Initial Budget Allocat FTE'!AM$121</f>
        <v>1</v>
      </c>
      <c r="AN98" s="115">
        <f>'[8]FY20 Initial Budget Allocat (2)'!AN98/'FY20 Initial Budget Allocat FTE'!AN$121</f>
        <v>0</v>
      </c>
      <c r="AO98" s="115">
        <f>'[8]FY20 Initial Budget Allocat (2)'!AO98/'FY20 Initial Budget Allocat FTE'!AO$121</f>
        <v>0</v>
      </c>
      <c r="AP98" s="115">
        <f>'[8]FY20 Initial Budget Allocat (2)'!AP98/'FY20 Initial Budget Allocat FTE'!AP$121</f>
        <v>0</v>
      </c>
      <c r="AQ98" s="115">
        <f>'[8]FY20 Initial Budget Allocat (2)'!AQ98/'FY20 Initial Budget Allocat FTE'!AQ$121</f>
        <v>0</v>
      </c>
      <c r="AR98" s="115">
        <f>'[8]FY20 Initial Budget Allocat (2)'!AR98/'FY20 Initial Budget Allocat FTE'!AR$121</f>
        <v>0</v>
      </c>
      <c r="AS98" s="115">
        <f>'[8]FY20 Initial Budget Allocat (2)'!AS98/'FY20 Initial Budget Allocat FTE'!AS$121</f>
        <v>0</v>
      </c>
      <c r="AT98" s="115">
        <f>'[8]FY20 Initial Budget Allocat (2)'!AT98/'FY20 Initial Budget Allocat FTE'!AT$121</f>
        <v>0</v>
      </c>
      <c r="AU98" s="115">
        <f>'[8]FY20 Initial Budget Allocat (2)'!AU98/'FY20 Initial Budget Allocat FTE'!AU$121</f>
        <v>0</v>
      </c>
      <c r="AV98" s="115">
        <f>'[8]FY20 Initial Budget Allocat (2)'!AV98/'FY20 Initial Budget Allocat FTE'!AV$121</f>
        <v>0</v>
      </c>
      <c r="AW98" s="115">
        <f>'[8]FY20 Initial Budget Allocat (2)'!AW98/'FY20 Initial Budget Allocat FTE'!AW$121</f>
        <v>0</v>
      </c>
      <c r="AX98" s="115">
        <f>'[8]FY20 Initial Budget Allocat (2)'!AX98/'FY20 Initial Budget Allocat FTE'!AX$121</f>
        <v>1</v>
      </c>
      <c r="AY98" s="115">
        <f>'[8]FY20 Initial Budget Allocat (2)'!AY98/'FY20 Initial Budget Allocat FTE'!AY$121</f>
        <v>1</v>
      </c>
      <c r="AZ98" s="115">
        <f>'[8]FY20 Initial Budget Allocat (2)'!AZ98/'FY20 Initial Budget Allocat FTE'!AZ$121</f>
        <v>6.0000000000000009</v>
      </c>
      <c r="BA98" s="115">
        <f>'[8]FY20 Initial Budget Allocat (2)'!BA98/'FY20 Initial Budget Allocat FTE'!BA$121</f>
        <v>3</v>
      </c>
      <c r="BB98" s="115">
        <f>'[8]FY20 Initial Budget Allocat (2)'!BB98/'FY20 Initial Budget Allocat FTE'!BB$121</f>
        <v>0</v>
      </c>
      <c r="BC98" s="115">
        <f>'[8]FY20 Initial Budget Allocat (2)'!BC98/'FY20 Initial Budget Allocat FTE'!BC$121</f>
        <v>0</v>
      </c>
      <c r="BD98" s="115">
        <f>'[8]FY20 Initial Budget Allocat (2)'!BD98/'FY20 Initial Budget Allocat FTE'!BD$121</f>
        <v>1</v>
      </c>
      <c r="BE98" s="115">
        <f>'[8]FY20 Initial Budget Allocat (2)'!BE98/'FY20 Initial Budget Allocat FTE'!BE$121</f>
        <v>0</v>
      </c>
      <c r="BF98" s="115">
        <f>'[8]FY20 Initial Budget Allocat (2)'!BF98/'FY20 Initial Budget Allocat FTE'!BF$121</f>
        <v>0</v>
      </c>
      <c r="BG98" s="115">
        <f>'[8]FY20 Initial Budget Allocat (2)'!BG98/'FY20 Initial Budget Allocat FTE'!BG$121</f>
        <v>2.0626461744069498</v>
      </c>
      <c r="BH98" s="115">
        <f>'[8]FY20 Initial Budget Allocat (2)'!BH98/'FY20 Initial Budget Allocat FTE'!BH$121</f>
        <v>4</v>
      </c>
      <c r="BI98" s="115">
        <f>'[8]FY20 Initial Budget Allocat (2)'!BI98/'FY20 Initial Budget Allocat FTE'!BI$121</f>
        <v>1</v>
      </c>
      <c r="BJ98" s="79"/>
      <c r="BK98" s="79">
        <v>0</v>
      </c>
      <c r="BL98" s="79">
        <v>11597</v>
      </c>
      <c r="BM98" s="79">
        <v>117896.5</v>
      </c>
      <c r="BN98" s="79">
        <v>1876.04</v>
      </c>
      <c r="BO98" s="79">
        <v>0</v>
      </c>
      <c r="BP98" s="115">
        <f>'[8]FY20 Initial Budget Allocat (2)'!BP98/'FY20 Initial Budget Allocat FTE'!BP$121</f>
        <v>0.11023649740499231</v>
      </c>
      <c r="BQ98" s="115">
        <f>'[8]FY20 Initial Budget Allocat (2)'!BQ98/'FY20 Initial Budget Allocat FTE'!BQ$121</f>
        <v>0</v>
      </c>
      <c r="BR98" s="115">
        <f>'[8]FY20 Initial Budget Allocat (2)'!BR98/'FY20 Initial Budget Allocat FTE'!BR$121</f>
        <v>0</v>
      </c>
      <c r="BS98" s="115">
        <f>'[8]FY20 Initial Budget Allocat (2)'!BS98/'FY20 Initial Budget Allocat FTE'!BS$121</f>
        <v>0</v>
      </c>
      <c r="BT98" s="115">
        <f>'[8]FY20 Initial Budget Allocat (2)'!BT98/'FY20 Initial Budget Allocat FTE'!BT$121</f>
        <v>0</v>
      </c>
      <c r="BU98" s="115">
        <f>'[8]FY20 Initial Budget Allocat (2)'!BU98/'FY20 Initial Budget Allocat FTE'!BU$121</f>
        <v>0</v>
      </c>
      <c r="BV98" s="115">
        <f>'[8]FY20 Initial Budget Allocat (2)'!BV98/'FY20 Initial Budget Allocat FTE'!BV$121</f>
        <v>0</v>
      </c>
      <c r="BW98" s="80">
        <v>0</v>
      </c>
      <c r="BX98" s="80">
        <v>0</v>
      </c>
      <c r="BY98" s="80">
        <v>0</v>
      </c>
      <c r="BZ98" s="80">
        <v>0</v>
      </c>
      <c r="CA98" s="115">
        <f>'[8]FY20 Initial Budget Allocat (2)'!CA98/'FY20 Initial Budget Allocat FTE'!CA$121</f>
        <v>1</v>
      </c>
      <c r="CB98" s="115">
        <f>'[8]FY20 Initial Budget Allocat (2)'!CB98/'FY20 Initial Budget Allocat FTE'!CB$121</f>
        <v>0</v>
      </c>
      <c r="CC98" s="80">
        <v>0</v>
      </c>
      <c r="CD98" s="115">
        <f>'[8]FY20 Initial Budget Allocat (2)'!CD98/'FY20 Initial Budget Allocat FTE'!CD$121</f>
        <v>0</v>
      </c>
      <c r="CE98" s="115">
        <f>'[8]FY20 Initial Budget Allocat (2)'!CE98/'FY20 Initial Budget Allocat FTE'!CE$121</f>
        <v>0</v>
      </c>
      <c r="CF98" s="115">
        <f>'[8]FY20 Initial Budget Allocat (2)'!CF98/'FY20 Initial Budget Allocat FTE'!CF$121</f>
        <v>0</v>
      </c>
      <c r="CG98" s="115">
        <f>'[8]FY20 Initial Budget Allocat (2)'!CG98/'FY20 Initial Budget Allocat FTE'!CG$121</f>
        <v>0</v>
      </c>
      <c r="CH98" s="115">
        <f>'[8]FY20 Initial Budget Allocat (2)'!CH98/'FY20 Initial Budget Allocat FTE'!CH$121</f>
        <v>0</v>
      </c>
      <c r="CI98" s="115">
        <f>'[8]FY20 Initial Budget Allocat (2)'!CI98/'FY20 Initial Budget Allocat FTE'!CI$121</f>
        <v>0</v>
      </c>
      <c r="CJ98" s="115">
        <f>'[8]FY20 Initial Budget Allocat (2)'!CJ98/'FY20 Initial Budget Allocat FTE'!CJ$121</f>
        <v>0</v>
      </c>
      <c r="CK98" s="79">
        <v>0</v>
      </c>
      <c r="CL98" s="79">
        <v>0</v>
      </c>
      <c r="CM98" s="79">
        <v>54082.8</v>
      </c>
      <c r="CN98" s="79">
        <v>0</v>
      </c>
      <c r="CO98" s="115">
        <f>'[8]FY20 Initial Budget Allocat (2)'!CO98/'FY20 Initial Budget Allocat FTE'!CO$121</f>
        <v>0</v>
      </c>
      <c r="CP98" s="79">
        <v>0</v>
      </c>
      <c r="CQ98" s="79">
        <v>7841.0810810810817</v>
      </c>
      <c r="CR98" s="79">
        <v>219600</v>
      </c>
      <c r="CS98" s="79">
        <v>14154.75</v>
      </c>
      <c r="CT98" s="115">
        <f>'[8]FY20 Initial Budget Allocat (2)'!CT98/'FY20 Initial Budget Allocat FTE'!CT$121</f>
        <v>0</v>
      </c>
      <c r="CU98" s="115">
        <f>'[8]FY20 Initial Budget Allocat (2)'!CU98/'FY20 Initial Budget Allocat FTE'!CU$121</f>
        <v>0</v>
      </c>
      <c r="CV98" s="79"/>
      <c r="CW98" s="79">
        <v>0</v>
      </c>
      <c r="CX98" s="115">
        <f>'[8]FY20 Initial Budget Allocat (2)'!CX98/'FY20 Initial Budget Allocat FTE'!CX$121</f>
        <v>0</v>
      </c>
      <c r="CY98" s="79">
        <v>0</v>
      </c>
      <c r="CZ98" s="79">
        <v>0</v>
      </c>
      <c r="DA98" s="79">
        <v>24500</v>
      </c>
      <c r="DB98" s="79">
        <v>64015.461961264802</v>
      </c>
      <c r="DC98" s="82">
        <v>0</v>
      </c>
      <c r="DD98" s="79">
        <v>0</v>
      </c>
      <c r="DE98" s="79"/>
      <c r="DF98" s="79">
        <v>16200</v>
      </c>
      <c r="DG98" s="79">
        <v>0</v>
      </c>
      <c r="DH98" s="83">
        <v>0</v>
      </c>
      <c r="DI98" s="79">
        <v>18118.051261258326</v>
      </c>
      <c r="DJ98" s="79">
        <v>4438922.5590082901</v>
      </c>
      <c r="DK98" s="84">
        <v>109114.44099170994</v>
      </c>
      <c r="DL98" s="84">
        <v>0</v>
      </c>
      <c r="DM98" s="84">
        <f t="shared" si="6"/>
        <v>4548037</v>
      </c>
      <c r="DN98" s="116">
        <f t="shared" si="7"/>
        <v>6</v>
      </c>
      <c r="DO98" s="116">
        <f t="shared" si="8"/>
        <v>6</v>
      </c>
      <c r="DP98" s="116">
        <f t="shared" si="9"/>
        <v>8</v>
      </c>
      <c r="DQ98" s="116">
        <f t="shared" si="10"/>
        <v>9</v>
      </c>
      <c r="DR98" s="116">
        <f t="shared" si="11"/>
        <v>3</v>
      </c>
    </row>
    <row r="99" spans="1:122" x14ac:dyDescent="0.25">
      <c r="A99" s="76">
        <v>427</v>
      </c>
      <c r="B99" s="76" t="s">
        <v>239</v>
      </c>
      <c r="C99" s="77" t="s">
        <v>152</v>
      </c>
      <c r="D99" s="41">
        <v>7</v>
      </c>
      <c r="E99" s="78">
        <v>248</v>
      </c>
      <c r="F99" s="78">
        <v>188</v>
      </c>
      <c r="G99" s="115">
        <f>'[8]FY20 Initial Budget Allocat (2)'!G99/'FY20 Initial Budget Allocat FTE'!G$121</f>
        <v>1</v>
      </c>
      <c r="H99" s="115">
        <f>'[8]FY20 Initial Budget Allocat (2)'!H99/'FY20 Initial Budget Allocat FTE'!H$121</f>
        <v>1</v>
      </c>
      <c r="I99" s="115">
        <f>'[8]FY20 Initial Budget Allocat (2)'!I99/'FY20 Initial Budget Allocat FTE'!I$121</f>
        <v>0.8</v>
      </c>
      <c r="J99" s="115">
        <f>'[8]FY20 Initial Budget Allocat (2)'!J99/'FY20 Initial Budget Allocat FTE'!J$121</f>
        <v>1</v>
      </c>
      <c r="K99" s="115">
        <f>'[8]FY20 Initial Budget Allocat (2)'!K99/'FY20 Initial Budget Allocat FTE'!K$121</f>
        <v>0</v>
      </c>
      <c r="L99" s="115">
        <f>'[8]FY20 Initial Budget Allocat (2)'!L99/'FY20 Initial Budget Allocat FTE'!L$121</f>
        <v>0.5</v>
      </c>
      <c r="M99" s="115">
        <f>'[8]FY20 Initial Budget Allocat (2)'!M99/'FY20 Initial Budget Allocat FTE'!M$121</f>
        <v>1</v>
      </c>
      <c r="N99" s="115">
        <f>'[8]FY20 Initial Budget Allocat (2)'!N99/'FY20 Initial Budget Allocat FTE'!N$121</f>
        <v>0</v>
      </c>
      <c r="O99" s="115">
        <f>'[8]FY20 Initial Budget Allocat (2)'!O99/'FY20 Initial Budget Allocat FTE'!O$121</f>
        <v>0</v>
      </c>
      <c r="P99" s="115">
        <f>'[8]FY20 Initial Budget Allocat (2)'!P99/'FY20 Initial Budget Allocat FTE'!P$121</f>
        <v>0</v>
      </c>
      <c r="Q99" s="115">
        <f>'[8]FY20 Initial Budget Allocat (2)'!Q99/'FY20 Initial Budget Allocat FTE'!Q$121</f>
        <v>0</v>
      </c>
      <c r="R99" s="115">
        <f>'[8]FY20 Initial Budget Allocat (2)'!R99/'FY20 Initial Budget Allocat FTE'!R$121</f>
        <v>1</v>
      </c>
      <c r="S99" s="115">
        <f>'[8]FY20 Initial Budget Allocat (2)'!S99/'FY20 Initial Budget Allocat FTE'!S$121</f>
        <v>1</v>
      </c>
      <c r="T99" s="115">
        <f>'[8]FY20 Initial Budget Allocat (2)'!T99/'FY20 Initial Budget Allocat FTE'!T$121</f>
        <v>3</v>
      </c>
      <c r="U99" s="115">
        <f>'[8]FY20 Initial Budget Allocat (2)'!U99/'FY20 Initial Budget Allocat FTE'!U$121</f>
        <v>0.5</v>
      </c>
      <c r="V99" s="115">
        <f>'[8]FY20 Initial Budget Allocat (2)'!V99/'FY20 Initial Budget Allocat FTE'!V$121</f>
        <v>0</v>
      </c>
      <c r="W99" s="115">
        <f>'[8]FY20 Initial Budget Allocat (2)'!W99/'FY20 Initial Budget Allocat FTE'!W$121</f>
        <v>0</v>
      </c>
      <c r="X99" s="115">
        <f>'[8]FY20 Initial Budget Allocat (2)'!X99/'FY20 Initial Budget Allocat FTE'!X$121</f>
        <v>0</v>
      </c>
      <c r="Y99" s="115">
        <f>'[8]FY20 Initial Budget Allocat (2)'!Y99/'FY20 Initial Budget Allocat FTE'!Y$121</f>
        <v>0</v>
      </c>
      <c r="Z99" s="115">
        <f>'[8]FY20 Initial Budget Allocat (2)'!Z99/'FY20 Initial Budget Allocat FTE'!Z$121</f>
        <v>0</v>
      </c>
      <c r="AA99" s="115">
        <f>'[8]FY20 Initial Budget Allocat (2)'!AA99/'FY20 Initial Budget Allocat FTE'!AA$121</f>
        <v>0</v>
      </c>
      <c r="AB99" s="115">
        <f>'[8]FY20 Initial Budget Allocat (2)'!AB99/'FY20 Initial Budget Allocat FTE'!AB$121</f>
        <v>0</v>
      </c>
      <c r="AC99" s="115">
        <f>'[8]FY20 Initial Budget Allocat (2)'!AC99/'FY20 Initial Budget Allocat FTE'!AC$121</f>
        <v>0</v>
      </c>
      <c r="AD99" s="115">
        <f>'[8]FY20 Initial Budget Allocat (2)'!AD99/'FY20 Initial Budget Allocat FTE'!AD$121</f>
        <v>0</v>
      </c>
      <c r="AE99" s="115">
        <f>'[8]FY20 Initial Budget Allocat (2)'!AE99/'FY20 Initial Budget Allocat FTE'!AE$121</f>
        <v>0</v>
      </c>
      <c r="AF99" s="115">
        <f>'[8]FY20 Initial Budget Allocat (2)'!AF99/'FY20 Initial Budget Allocat FTE'!AF$121</f>
        <v>0</v>
      </c>
      <c r="AG99" s="115">
        <f>'[8]FY20 Initial Budget Allocat (2)'!AG99/'FY20 Initial Budget Allocat FTE'!AG$121</f>
        <v>0</v>
      </c>
      <c r="AH99" s="115">
        <f>'[8]FY20 Initial Budget Allocat (2)'!AH99/'FY20 Initial Budget Allocat FTE'!AH$121</f>
        <v>0</v>
      </c>
      <c r="AI99" s="115">
        <f>'[8]FY20 Initial Budget Allocat (2)'!AI99/'FY20 Initial Budget Allocat FTE'!AI$121</f>
        <v>0</v>
      </c>
      <c r="AJ99" s="115">
        <f>'[8]FY20 Initial Budget Allocat (2)'!AJ99/'FY20 Initial Budget Allocat FTE'!AJ$121</f>
        <v>0</v>
      </c>
      <c r="AK99" s="115">
        <f>'[8]FY20 Initial Budget Allocat (2)'!AK99/'FY20 Initial Budget Allocat FTE'!AK$121</f>
        <v>0</v>
      </c>
      <c r="AL99" s="115">
        <f>'[8]FY20 Initial Budget Allocat (2)'!AL99/'FY20 Initial Budget Allocat FTE'!AL$121</f>
        <v>0</v>
      </c>
      <c r="AM99" s="115">
        <f>'[8]FY20 Initial Budget Allocat (2)'!AM99/'FY20 Initial Budget Allocat FTE'!AM$121</f>
        <v>0</v>
      </c>
      <c r="AN99" s="115">
        <f>'[8]FY20 Initial Budget Allocat (2)'!AN99/'FY20 Initial Budget Allocat FTE'!AN$121</f>
        <v>4.2</v>
      </c>
      <c r="AO99" s="115">
        <f>'[8]FY20 Initial Budget Allocat (2)'!AO99/'FY20 Initial Budget Allocat FTE'!AO$121</f>
        <v>3.9</v>
      </c>
      <c r="AP99" s="115">
        <f>'[8]FY20 Initial Budget Allocat (2)'!AP99/'FY20 Initial Budget Allocat FTE'!AP$121</f>
        <v>3.2000000000000006</v>
      </c>
      <c r="AQ99" s="115">
        <f>'[8]FY20 Initial Budget Allocat (2)'!AQ99/'FY20 Initial Budget Allocat FTE'!AQ$121</f>
        <v>0</v>
      </c>
      <c r="AR99" s="115">
        <f>'[8]FY20 Initial Budget Allocat (2)'!AR99/'FY20 Initial Budget Allocat FTE'!AR$121</f>
        <v>0</v>
      </c>
      <c r="AS99" s="115">
        <f>'[8]FY20 Initial Budget Allocat (2)'!AS99/'FY20 Initial Budget Allocat FTE'!AS$121</f>
        <v>0</v>
      </c>
      <c r="AT99" s="115">
        <f>'[8]FY20 Initial Budget Allocat (2)'!AT99/'FY20 Initial Budget Allocat FTE'!AT$121</f>
        <v>0</v>
      </c>
      <c r="AU99" s="115">
        <f>'[8]FY20 Initial Budget Allocat (2)'!AU99/'FY20 Initial Budget Allocat FTE'!AU$121</f>
        <v>0</v>
      </c>
      <c r="AV99" s="115">
        <f>'[8]FY20 Initial Budget Allocat (2)'!AV99/'FY20 Initial Budget Allocat FTE'!AV$121</f>
        <v>0</v>
      </c>
      <c r="AW99" s="115">
        <f>'[8]FY20 Initial Budget Allocat (2)'!AW99/'FY20 Initial Budget Allocat FTE'!AW$121</f>
        <v>0</v>
      </c>
      <c r="AX99" s="115">
        <f>'[8]FY20 Initial Budget Allocat (2)'!AX99/'FY20 Initial Budget Allocat FTE'!AX$121</f>
        <v>1</v>
      </c>
      <c r="AY99" s="115">
        <f>'[8]FY20 Initial Budget Allocat (2)'!AY99/'FY20 Initial Budget Allocat FTE'!AY$121</f>
        <v>2</v>
      </c>
      <c r="AZ99" s="115">
        <f>'[8]FY20 Initial Budget Allocat (2)'!AZ99/'FY20 Initial Budget Allocat FTE'!AZ$121</f>
        <v>6.0000000000000009</v>
      </c>
      <c r="BA99" s="115">
        <f>'[8]FY20 Initial Budget Allocat (2)'!BA99/'FY20 Initial Budget Allocat FTE'!BA$121</f>
        <v>2</v>
      </c>
      <c r="BB99" s="115">
        <f>'[8]FY20 Initial Budget Allocat (2)'!BB99/'FY20 Initial Budget Allocat FTE'!BB$121</f>
        <v>0</v>
      </c>
      <c r="BC99" s="115">
        <f>'[8]FY20 Initial Budget Allocat (2)'!BC99/'FY20 Initial Budget Allocat FTE'!BC$121</f>
        <v>0</v>
      </c>
      <c r="BD99" s="115">
        <f>'[8]FY20 Initial Budget Allocat (2)'!BD99/'FY20 Initial Budget Allocat FTE'!BD$121</f>
        <v>0.22727272727272727</v>
      </c>
      <c r="BE99" s="115">
        <f>'[8]FY20 Initial Budget Allocat (2)'!BE99/'FY20 Initial Budget Allocat FTE'!BE$121</f>
        <v>0</v>
      </c>
      <c r="BF99" s="115">
        <f>'[8]FY20 Initial Budget Allocat (2)'!BF99/'FY20 Initial Budget Allocat FTE'!BF$121</f>
        <v>0</v>
      </c>
      <c r="BG99" s="115">
        <f>'[8]FY20 Initial Budget Allocat (2)'!BG99/'FY20 Initial Budget Allocat FTE'!BG$121</f>
        <v>0</v>
      </c>
      <c r="BH99" s="115">
        <f>'[8]FY20 Initial Budget Allocat (2)'!BH99/'FY20 Initial Budget Allocat FTE'!BH$121</f>
        <v>0</v>
      </c>
      <c r="BI99" s="115">
        <f>'[8]FY20 Initial Budget Allocat (2)'!BI99/'FY20 Initial Budget Allocat FTE'!BI$121</f>
        <v>0</v>
      </c>
      <c r="BJ99" s="79"/>
      <c r="BK99" s="79">
        <v>0</v>
      </c>
      <c r="BL99" s="79"/>
      <c r="BM99" s="79">
        <v>107437.94</v>
      </c>
      <c r="BN99" s="79">
        <v>1709.62</v>
      </c>
      <c r="BO99" s="79">
        <v>0</v>
      </c>
      <c r="BP99" s="115">
        <f>'[8]FY20 Initial Budget Allocat (2)'!BP99/'FY20 Initial Budget Allocat FTE'!BP$121</f>
        <v>0</v>
      </c>
      <c r="BQ99" s="115">
        <f>'[8]FY20 Initial Budget Allocat (2)'!BQ99/'FY20 Initial Budget Allocat FTE'!BQ$121</f>
        <v>1</v>
      </c>
      <c r="BR99" s="115">
        <f>'[8]FY20 Initial Budget Allocat (2)'!BR99/'FY20 Initial Budget Allocat FTE'!BR$121</f>
        <v>1</v>
      </c>
      <c r="BS99" s="115">
        <f>'[8]FY20 Initial Budget Allocat (2)'!BS99/'FY20 Initial Budget Allocat FTE'!BS$121</f>
        <v>0</v>
      </c>
      <c r="BT99" s="115">
        <f>'[8]FY20 Initial Budget Allocat (2)'!BT99/'FY20 Initial Budget Allocat FTE'!BT$121</f>
        <v>0</v>
      </c>
      <c r="BU99" s="115">
        <f>'[8]FY20 Initial Budget Allocat (2)'!BU99/'FY20 Initial Budget Allocat FTE'!BU$121</f>
        <v>0</v>
      </c>
      <c r="BV99" s="115">
        <f>'[8]FY20 Initial Budget Allocat (2)'!BV99/'FY20 Initial Budget Allocat FTE'!BV$121</f>
        <v>0</v>
      </c>
      <c r="BW99" s="80">
        <v>0</v>
      </c>
      <c r="BX99" s="80">
        <v>0</v>
      </c>
      <c r="BY99" s="80">
        <v>0</v>
      </c>
      <c r="BZ99" s="80">
        <v>0</v>
      </c>
      <c r="CA99" s="115">
        <f>'[8]FY20 Initial Budget Allocat (2)'!CA99/'FY20 Initial Budget Allocat FTE'!CA$121</f>
        <v>0</v>
      </c>
      <c r="CB99" s="115">
        <f>'[8]FY20 Initial Budget Allocat (2)'!CB99/'FY20 Initial Budget Allocat FTE'!CB$121</f>
        <v>0</v>
      </c>
      <c r="CC99" s="80">
        <v>0</v>
      </c>
      <c r="CD99" s="115">
        <f>'[8]FY20 Initial Budget Allocat (2)'!CD99/'FY20 Initial Budget Allocat FTE'!CD$121</f>
        <v>0</v>
      </c>
      <c r="CE99" s="115">
        <f>'[8]FY20 Initial Budget Allocat (2)'!CE99/'FY20 Initial Budget Allocat FTE'!CE$121</f>
        <v>0</v>
      </c>
      <c r="CF99" s="115">
        <f>'[8]FY20 Initial Budget Allocat (2)'!CF99/'FY20 Initial Budget Allocat FTE'!CF$121</f>
        <v>0</v>
      </c>
      <c r="CG99" s="115">
        <f>'[8]FY20 Initial Budget Allocat (2)'!CG99/'FY20 Initial Budget Allocat FTE'!CG$121</f>
        <v>0</v>
      </c>
      <c r="CH99" s="115">
        <f>'[8]FY20 Initial Budget Allocat (2)'!CH99/'FY20 Initial Budget Allocat FTE'!CH$121</f>
        <v>0</v>
      </c>
      <c r="CI99" s="115">
        <f>'[8]FY20 Initial Budget Allocat (2)'!CI99/'FY20 Initial Budget Allocat FTE'!CI$121</f>
        <v>2</v>
      </c>
      <c r="CJ99" s="115">
        <f>'[8]FY20 Initial Budget Allocat (2)'!CJ99/'FY20 Initial Budget Allocat FTE'!CJ$121</f>
        <v>0</v>
      </c>
      <c r="CK99" s="79">
        <v>23000</v>
      </c>
      <c r="CL99" s="79">
        <v>5000</v>
      </c>
      <c r="CM99" s="79">
        <v>295048.09999999998</v>
      </c>
      <c r="CN99" s="79">
        <v>100000</v>
      </c>
      <c r="CO99" s="115">
        <f>'[8]FY20 Initial Budget Allocat (2)'!CO99/'FY20 Initial Budget Allocat FTE'!CO$121</f>
        <v>0</v>
      </c>
      <c r="CP99" s="79">
        <v>75000</v>
      </c>
      <c r="CQ99" s="79">
        <v>7520</v>
      </c>
      <c r="CR99" s="79">
        <v>0</v>
      </c>
      <c r="CS99" s="79">
        <v>20629.09685534591</v>
      </c>
      <c r="CT99" s="115">
        <f>'[8]FY20 Initial Budget Allocat (2)'!CT99/'FY20 Initial Budget Allocat FTE'!CT$121</f>
        <v>0</v>
      </c>
      <c r="CU99" s="115">
        <f>'[8]FY20 Initial Budget Allocat (2)'!CU99/'FY20 Initial Budget Allocat FTE'!CU$121</f>
        <v>0</v>
      </c>
      <c r="CV99" s="79"/>
      <c r="CW99" s="79">
        <v>0</v>
      </c>
      <c r="CX99" s="115">
        <f>'[8]FY20 Initial Budget Allocat (2)'!CX99/'FY20 Initial Budget Allocat FTE'!CX$121</f>
        <v>0</v>
      </c>
      <c r="CY99" s="79">
        <v>0</v>
      </c>
      <c r="CZ99" s="79">
        <v>0</v>
      </c>
      <c r="DA99" s="79">
        <v>24800</v>
      </c>
      <c r="DB99" s="79">
        <v>61270.652087619557</v>
      </c>
      <c r="DC99" s="82">
        <v>0</v>
      </c>
      <c r="DD99" s="79">
        <v>0</v>
      </c>
      <c r="DE99" s="79"/>
      <c r="DF99" s="79">
        <v>52850</v>
      </c>
      <c r="DG99" s="79">
        <v>0</v>
      </c>
      <c r="DH99" s="83">
        <v>0</v>
      </c>
      <c r="DI99" s="79">
        <v>18064.09666690075</v>
      </c>
      <c r="DJ99" s="79">
        <v>4479895.9733913857</v>
      </c>
      <c r="DK99" s="84">
        <v>109114.87660861388</v>
      </c>
      <c r="DL99" s="84">
        <v>0</v>
      </c>
      <c r="DM99" s="84">
        <f t="shared" si="6"/>
        <v>4589010.8499999996</v>
      </c>
      <c r="DN99" s="116">
        <f t="shared" si="7"/>
        <v>0</v>
      </c>
      <c r="DO99" s="116">
        <f t="shared" si="8"/>
        <v>0</v>
      </c>
      <c r="DP99" s="116">
        <f t="shared" si="9"/>
        <v>11.3</v>
      </c>
      <c r="DQ99" s="116">
        <f t="shared" si="10"/>
        <v>9.2272727272727266</v>
      </c>
      <c r="DR99" s="116">
        <f t="shared" si="11"/>
        <v>2</v>
      </c>
    </row>
    <row r="100" spans="1:122" x14ac:dyDescent="0.25">
      <c r="A100" s="76">
        <v>319</v>
      </c>
      <c r="B100" s="76" t="s">
        <v>240</v>
      </c>
      <c r="C100" s="77" t="s">
        <v>135</v>
      </c>
      <c r="D100" s="41">
        <v>8</v>
      </c>
      <c r="E100" s="78">
        <v>447</v>
      </c>
      <c r="F100" s="78">
        <v>410</v>
      </c>
      <c r="G100" s="115">
        <f>'[8]FY20 Initial Budget Allocat (2)'!G100/'FY20 Initial Budget Allocat FTE'!G$121</f>
        <v>1</v>
      </c>
      <c r="H100" s="115">
        <f>'[8]FY20 Initial Budget Allocat (2)'!H100/'FY20 Initial Budget Allocat FTE'!H$121</f>
        <v>1</v>
      </c>
      <c r="I100" s="115">
        <f>'[8]FY20 Initial Budget Allocat (2)'!I100/'FY20 Initial Budget Allocat FTE'!I$121</f>
        <v>1.1000000000000001</v>
      </c>
      <c r="J100" s="115">
        <f>'[8]FY20 Initial Budget Allocat (2)'!J100/'FY20 Initial Budget Allocat FTE'!J$121</f>
        <v>0</v>
      </c>
      <c r="K100" s="115">
        <f>'[8]FY20 Initial Budget Allocat (2)'!K100/'FY20 Initial Budget Allocat FTE'!K$121</f>
        <v>0</v>
      </c>
      <c r="L100" s="115">
        <f>'[8]FY20 Initial Budget Allocat (2)'!L100/'FY20 Initial Budget Allocat FTE'!L$121</f>
        <v>1</v>
      </c>
      <c r="M100" s="115">
        <f>'[8]FY20 Initial Budget Allocat (2)'!M100/'FY20 Initial Budget Allocat FTE'!M$121</f>
        <v>1</v>
      </c>
      <c r="N100" s="115">
        <f>'[8]FY20 Initial Budget Allocat (2)'!N100/'FY20 Initial Budget Allocat FTE'!N$121</f>
        <v>1.1000000000000001</v>
      </c>
      <c r="O100" s="115">
        <f>'[8]FY20 Initial Budget Allocat (2)'!O100/'FY20 Initial Budget Allocat FTE'!O$121</f>
        <v>0</v>
      </c>
      <c r="P100" s="115">
        <f>'[8]FY20 Initial Budget Allocat (2)'!P100/'FY20 Initial Budget Allocat FTE'!P$121</f>
        <v>0</v>
      </c>
      <c r="Q100" s="115">
        <f>'[8]FY20 Initial Budget Allocat (2)'!Q100/'FY20 Initial Budget Allocat FTE'!Q$121</f>
        <v>0</v>
      </c>
      <c r="R100" s="115">
        <f>'[8]FY20 Initial Budget Allocat (2)'!R100/'FY20 Initial Budget Allocat FTE'!R$121</f>
        <v>1</v>
      </c>
      <c r="S100" s="115">
        <f>'[8]FY20 Initial Budget Allocat (2)'!S100/'FY20 Initial Budget Allocat FTE'!S$121</f>
        <v>1</v>
      </c>
      <c r="T100" s="115">
        <f>'[8]FY20 Initial Budget Allocat (2)'!T100/'FY20 Initial Budget Allocat FTE'!T$121</f>
        <v>2</v>
      </c>
      <c r="U100" s="115">
        <f>'[8]FY20 Initial Budget Allocat (2)'!U100/'FY20 Initial Budget Allocat FTE'!U$121</f>
        <v>1</v>
      </c>
      <c r="V100" s="115">
        <f>'[8]FY20 Initial Budget Allocat (2)'!V100/'FY20 Initial Budget Allocat FTE'!V$121</f>
        <v>1</v>
      </c>
      <c r="W100" s="115">
        <f>'[8]FY20 Initial Budget Allocat (2)'!W100/'FY20 Initial Budget Allocat FTE'!W$121</f>
        <v>1</v>
      </c>
      <c r="X100" s="115">
        <f>'[8]FY20 Initial Budget Allocat (2)'!X100/'FY20 Initial Budget Allocat FTE'!X$121</f>
        <v>1</v>
      </c>
      <c r="Y100" s="115">
        <f>'[8]FY20 Initial Budget Allocat (2)'!Y100/'FY20 Initial Budget Allocat FTE'!Y$121</f>
        <v>1.0000000000000047</v>
      </c>
      <c r="Z100" s="115">
        <f>'[8]FY20 Initial Budget Allocat (2)'!Z100/'FY20 Initial Budget Allocat FTE'!Z$121</f>
        <v>0.5</v>
      </c>
      <c r="AA100" s="115">
        <f>'[8]FY20 Initial Budget Allocat (2)'!AA100/'FY20 Initial Budget Allocat FTE'!AA$121</f>
        <v>2</v>
      </c>
      <c r="AB100" s="115">
        <f>'[8]FY20 Initial Budget Allocat (2)'!AB100/'FY20 Initial Budget Allocat FTE'!AB$121</f>
        <v>2</v>
      </c>
      <c r="AC100" s="115">
        <f>'[8]FY20 Initial Budget Allocat (2)'!AC100/'FY20 Initial Budget Allocat FTE'!AC$121</f>
        <v>0</v>
      </c>
      <c r="AD100" s="115">
        <f>'[8]FY20 Initial Budget Allocat (2)'!AD100/'FY20 Initial Budget Allocat FTE'!AD$121</f>
        <v>0</v>
      </c>
      <c r="AE100" s="115">
        <f>'[8]FY20 Initial Budget Allocat (2)'!AE100/'FY20 Initial Budget Allocat FTE'!AE$121</f>
        <v>3.0000000000000004</v>
      </c>
      <c r="AF100" s="115">
        <f>'[8]FY20 Initial Budget Allocat (2)'!AF100/'FY20 Initial Budget Allocat FTE'!AF$121</f>
        <v>3</v>
      </c>
      <c r="AG100" s="115">
        <f>'[8]FY20 Initial Budget Allocat (2)'!AG100/'FY20 Initial Budget Allocat FTE'!AG$121</f>
        <v>3.0000000000000004</v>
      </c>
      <c r="AH100" s="115">
        <f>'[8]FY20 Initial Budget Allocat (2)'!AH100/'FY20 Initial Budget Allocat FTE'!AH$121</f>
        <v>3</v>
      </c>
      <c r="AI100" s="115">
        <f>'[8]FY20 Initial Budget Allocat (2)'!AI100/'FY20 Initial Budget Allocat FTE'!AI$121</f>
        <v>3.0000000000000004</v>
      </c>
      <c r="AJ100" s="115">
        <f>'[8]FY20 Initial Budget Allocat (2)'!AJ100/'FY20 Initial Budget Allocat FTE'!AJ$121</f>
        <v>3.0000000000000004</v>
      </c>
      <c r="AK100" s="115">
        <f>'[8]FY20 Initial Budget Allocat (2)'!AK100/'FY20 Initial Budget Allocat FTE'!AK$121</f>
        <v>3.0000000000000004</v>
      </c>
      <c r="AL100" s="115">
        <f>'[8]FY20 Initial Budget Allocat (2)'!AL100/'FY20 Initial Budget Allocat FTE'!AL$121</f>
        <v>3.0000000000000004</v>
      </c>
      <c r="AM100" s="115">
        <f>'[8]FY20 Initial Budget Allocat (2)'!AM100/'FY20 Initial Budget Allocat FTE'!AM$121</f>
        <v>4</v>
      </c>
      <c r="AN100" s="115">
        <f>'[8]FY20 Initial Budget Allocat (2)'!AN100/'FY20 Initial Budget Allocat FTE'!AN$121</f>
        <v>0</v>
      </c>
      <c r="AO100" s="115">
        <f>'[8]FY20 Initial Budget Allocat (2)'!AO100/'FY20 Initial Budget Allocat FTE'!AO$121</f>
        <v>0</v>
      </c>
      <c r="AP100" s="115">
        <f>'[8]FY20 Initial Budget Allocat (2)'!AP100/'FY20 Initial Budget Allocat FTE'!AP$121</f>
        <v>0</v>
      </c>
      <c r="AQ100" s="115">
        <f>'[8]FY20 Initial Budget Allocat (2)'!AQ100/'FY20 Initial Budget Allocat FTE'!AQ$121</f>
        <v>0</v>
      </c>
      <c r="AR100" s="115">
        <f>'[8]FY20 Initial Budget Allocat (2)'!AR100/'FY20 Initial Budget Allocat FTE'!AR$121</f>
        <v>0</v>
      </c>
      <c r="AS100" s="115">
        <f>'[8]FY20 Initial Budget Allocat (2)'!AS100/'FY20 Initial Budget Allocat FTE'!AS$121</f>
        <v>0</v>
      </c>
      <c r="AT100" s="115">
        <f>'[8]FY20 Initial Budget Allocat (2)'!AT100/'FY20 Initial Budget Allocat FTE'!AT$121</f>
        <v>0</v>
      </c>
      <c r="AU100" s="115">
        <f>'[8]FY20 Initial Budget Allocat (2)'!AU100/'FY20 Initial Budget Allocat FTE'!AU$121</f>
        <v>0</v>
      </c>
      <c r="AV100" s="115">
        <f>'[8]FY20 Initial Budget Allocat (2)'!AV100/'FY20 Initial Budget Allocat FTE'!AV$121</f>
        <v>0</v>
      </c>
      <c r="AW100" s="115">
        <f>'[8]FY20 Initial Budget Allocat (2)'!AW100/'FY20 Initial Budget Allocat FTE'!AW$121</f>
        <v>0</v>
      </c>
      <c r="AX100" s="115">
        <f>'[8]FY20 Initial Budget Allocat (2)'!AX100/'FY20 Initial Budget Allocat FTE'!AX$121</f>
        <v>1</v>
      </c>
      <c r="AY100" s="115">
        <f>'[8]FY20 Initial Budget Allocat (2)'!AY100/'FY20 Initial Budget Allocat FTE'!AY$121</f>
        <v>2</v>
      </c>
      <c r="AZ100" s="115">
        <f>'[8]FY20 Initial Budget Allocat (2)'!AZ100/'FY20 Initial Budget Allocat FTE'!AZ$121</f>
        <v>7</v>
      </c>
      <c r="BA100" s="115">
        <f>'[8]FY20 Initial Budget Allocat (2)'!BA100/'FY20 Initial Budget Allocat FTE'!BA$121</f>
        <v>3</v>
      </c>
      <c r="BB100" s="115">
        <f>'[8]FY20 Initial Budget Allocat (2)'!BB100/'FY20 Initial Budget Allocat FTE'!BB$121</f>
        <v>0</v>
      </c>
      <c r="BC100" s="115">
        <f>'[8]FY20 Initial Budget Allocat (2)'!BC100/'FY20 Initial Budget Allocat FTE'!BC$121</f>
        <v>0</v>
      </c>
      <c r="BD100" s="115">
        <f>'[8]FY20 Initial Budget Allocat (2)'!BD100/'FY20 Initial Budget Allocat FTE'!BD$121</f>
        <v>0</v>
      </c>
      <c r="BE100" s="115">
        <f>'[8]FY20 Initial Budget Allocat (2)'!BE100/'FY20 Initial Budget Allocat FTE'!BE$121</f>
        <v>0</v>
      </c>
      <c r="BF100" s="115">
        <f>'[8]FY20 Initial Budget Allocat (2)'!BF100/'FY20 Initial Budget Allocat FTE'!BF$121</f>
        <v>0</v>
      </c>
      <c r="BG100" s="115">
        <f>'[8]FY20 Initial Budget Allocat (2)'!BG100/'FY20 Initial Budget Allocat FTE'!BG$121</f>
        <v>2.0003341129301706</v>
      </c>
      <c r="BH100" s="115">
        <f>'[8]FY20 Initial Budget Allocat (2)'!BH100/'FY20 Initial Budget Allocat FTE'!BH$121</f>
        <v>7</v>
      </c>
      <c r="BI100" s="115">
        <f>'[8]FY20 Initial Budget Allocat (2)'!BI100/'FY20 Initial Budget Allocat FTE'!BI$121</f>
        <v>1</v>
      </c>
      <c r="BJ100" s="79"/>
      <c r="BK100" s="79">
        <v>0</v>
      </c>
      <c r="BL100" s="79">
        <v>29928</v>
      </c>
      <c r="BM100" s="79">
        <v>234366.84</v>
      </c>
      <c r="BN100" s="79">
        <v>3729.38</v>
      </c>
      <c r="BO100" s="79">
        <v>0</v>
      </c>
      <c r="BP100" s="115">
        <f>'[8]FY20 Initial Budget Allocat (2)'!BP100/'FY20 Initial Budget Allocat FTE'!BP$121</f>
        <v>0</v>
      </c>
      <c r="BQ100" s="115">
        <f>'[8]FY20 Initial Budget Allocat (2)'!BQ100/'FY20 Initial Budget Allocat FTE'!BQ$121</f>
        <v>0</v>
      </c>
      <c r="BR100" s="115">
        <f>'[8]FY20 Initial Budget Allocat (2)'!BR100/'FY20 Initial Budget Allocat FTE'!BR$121</f>
        <v>0</v>
      </c>
      <c r="BS100" s="115">
        <f>'[8]FY20 Initial Budget Allocat (2)'!BS100/'FY20 Initial Budget Allocat FTE'!BS$121</f>
        <v>0</v>
      </c>
      <c r="BT100" s="115">
        <f>'[8]FY20 Initial Budget Allocat (2)'!BT100/'FY20 Initial Budget Allocat FTE'!BT$121</f>
        <v>0</v>
      </c>
      <c r="BU100" s="115">
        <f>'[8]FY20 Initial Budget Allocat (2)'!BU100/'FY20 Initial Budget Allocat FTE'!BU$121</f>
        <v>0</v>
      </c>
      <c r="BV100" s="115">
        <f>'[8]FY20 Initial Budget Allocat (2)'!BV100/'FY20 Initial Budget Allocat FTE'!BV$121</f>
        <v>0</v>
      </c>
      <c r="BW100" s="80">
        <v>0</v>
      </c>
      <c r="BX100" s="80">
        <v>0</v>
      </c>
      <c r="BY100" s="80">
        <v>0</v>
      </c>
      <c r="BZ100" s="80">
        <v>0</v>
      </c>
      <c r="CA100" s="115">
        <f>'[8]FY20 Initial Budget Allocat (2)'!CA100/'FY20 Initial Budget Allocat FTE'!CA$121</f>
        <v>0</v>
      </c>
      <c r="CB100" s="115">
        <f>'[8]FY20 Initial Budget Allocat (2)'!CB100/'FY20 Initial Budget Allocat FTE'!CB$121</f>
        <v>0</v>
      </c>
      <c r="CC100" s="80">
        <v>0</v>
      </c>
      <c r="CD100" s="115">
        <f>'[8]FY20 Initial Budget Allocat (2)'!CD100/'FY20 Initial Budget Allocat FTE'!CD$121</f>
        <v>0</v>
      </c>
      <c r="CE100" s="115">
        <f>'[8]FY20 Initial Budget Allocat (2)'!CE100/'FY20 Initial Budget Allocat FTE'!CE$121</f>
        <v>0</v>
      </c>
      <c r="CF100" s="115">
        <f>'[8]FY20 Initial Budget Allocat (2)'!CF100/'FY20 Initial Budget Allocat FTE'!CF$121</f>
        <v>0</v>
      </c>
      <c r="CG100" s="115">
        <f>'[8]FY20 Initial Budget Allocat (2)'!CG100/'FY20 Initial Budget Allocat FTE'!CG$121</f>
        <v>0</v>
      </c>
      <c r="CH100" s="115">
        <f>'[8]FY20 Initial Budget Allocat (2)'!CH100/'FY20 Initial Budget Allocat FTE'!CH$121</f>
        <v>0</v>
      </c>
      <c r="CI100" s="115">
        <f>'[8]FY20 Initial Budget Allocat (2)'!CI100/'FY20 Initial Budget Allocat FTE'!CI$121</f>
        <v>0</v>
      </c>
      <c r="CJ100" s="115">
        <f>'[8]FY20 Initial Budget Allocat (2)'!CJ100/'FY20 Initial Budget Allocat FTE'!CJ$121</f>
        <v>0</v>
      </c>
      <c r="CK100" s="79">
        <v>0</v>
      </c>
      <c r="CL100" s="79">
        <v>0</v>
      </c>
      <c r="CM100" s="79">
        <v>108165.6</v>
      </c>
      <c r="CN100" s="79">
        <v>0</v>
      </c>
      <c r="CO100" s="115">
        <f>'[8]FY20 Initial Budget Allocat (2)'!CO100/'FY20 Initial Budget Allocat FTE'!CO$121</f>
        <v>0</v>
      </c>
      <c r="CP100" s="79">
        <v>0</v>
      </c>
      <c r="CQ100" s="79">
        <v>16400</v>
      </c>
      <c r="CR100" s="79">
        <v>0</v>
      </c>
      <c r="CS100" s="79">
        <v>24202.626279863482</v>
      </c>
      <c r="CT100" s="115">
        <f>'[8]FY20 Initial Budget Allocat (2)'!CT100/'FY20 Initial Budget Allocat FTE'!CT$121</f>
        <v>0</v>
      </c>
      <c r="CU100" s="115">
        <f>'[8]FY20 Initial Budget Allocat (2)'!CU100/'FY20 Initial Budget Allocat FTE'!CU$121</f>
        <v>0</v>
      </c>
      <c r="CV100" s="79"/>
      <c r="CW100" s="79">
        <v>0</v>
      </c>
      <c r="CX100" s="115">
        <f>'[8]FY20 Initial Budget Allocat (2)'!CX100/'FY20 Initial Budget Allocat FTE'!CX$121</f>
        <v>0</v>
      </c>
      <c r="CY100" s="79">
        <v>0</v>
      </c>
      <c r="CZ100" s="79">
        <v>0</v>
      </c>
      <c r="DA100" s="79">
        <v>44700</v>
      </c>
      <c r="DB100" s="79">
        <v>89147.10860722512</v>
      </c>
      <c r="DC100" s="82">
        <v>0</v>
      </c>
      <c r="DD100" s="79">
        <v>0</v>
      </c>
      <c r="DE100" s="79"/>
      <c r="DF100" s="79">
        <v>49700</v>
      </c>
      <c r="DG100" s="79">
        <v>0</v>
      </c>
      <c r="DH100" s="83">
        <v>0</v>
      </c>
      <c r="DI100" s="79">
        <v>13859.997865814503</v>
      </c>
      <c r="DJ100" s="79">
        <v>6195419.0460190838</v>
      </c>
      <c r="DK100" s="84">
        <v>3.9809159934520721E-3</v>
      </c>
      <c r="DL100" s="84">
        <v>0</v>
      </c>
      <c r="DM100" s="84">
        <f t="shared" si="6"/>
        <v>6195419.0499999998</v>
      </c>
      <c r="DN100" s="116">
        <f t="shared" si="7"/>
        <v>8</v>
      </c>
      <c r="DO100" s="116">
        <f t="shared" si="8"/>
        <v>8</v>
      </c>
      <c r="DP100" s="116">
        <f t="shared" si="9"/>
        <v>16</v>
      </c>
      <c r="DQ100" s="116">
        <f t="shared" si="10"/>
        <v>10</v>
      </c>
      <c r="DR100" s="116">
        <f t="shared" si="11"/>
        <v>3</v>
      </c>
    </row>
    <row r="101" spans="1:122" x14ac:dyDescent="0.25">
      <c r="A101" s="76">
        <v>321</v>
      </c>
      <c r="B101" s="76" t="s">
        <v>242</v>
      </c>
      <c r="C101" s="77" t="s">
        <v>135</v>
      </c>
      <c r="D101" s="41">
        <v>3</v>
      </c>
      <c r="E101" s="78">
        <v>471</v>
      </c>
      <c r="F101" s="78">
        <v>39.715639810426545</v>
      </c>
      <c r="G101" s="115">
        <f>'[8]FY20 Initial Budget Allocat (2)'!G101/'FY20 Initial Budget Allocat FTE'!G$121</f>
        <v>1</v>
      </c>
      <c r="H101" s="115">
        <f>'[8]FY20 Initial Budget Allocat (2)'!H101/'FY20 Initial Budget Allocat FTE'!H$121</f>
        <v>1</v>
      </c>
      <c r="I101" s="115">
        <f>'[8]FY20 Initial Budget Allocat (2)'!I101/'FY20 Initial Budget Allocat FTE'!I$121</f>
        <v>1.2</v>
      </c>
      <c r="J101" s="115">
        <f>'[8]FY20 Initial Budget Allocat (2)'!J101/'FY20 Initial Budget Allocat FTE'!J$121</f>
        <v>0</v>
      </c>
      <c r="K101" s="115">
        <f>'[8]FY20 Initial Budget Allocat (2)'!K101/'FY20 Initial Budget Allocat FTE'!K$121</f>
        <v>0</v>
      </c>
      <c r="L101" s="115">
        <f>'[8]FY20 Initial Budget Allocat (2)'!L101/'FY20 Initial Budget Allocat FTE'!L$121</f>
        <v>1</v>
      </c>
      <c r="M101" s="115">
        <f>'[8]FY20 Initial Budget Allocat (2)'!M101/'FY20 Initial Budget Allocat FTE'!M$121</f>
        <v>1</v>
      </c>
      <c r="N101" s="115">
        <f>'[8]FY20 Initial Budget Allocat (2)'!N101/'FY20 Initial Budget Allocat FTE'!N$121</f>
        <v>1.2</v>
      </c>
      <c r="O101" s="115">
        <f>'[8]FY20 Initial Budget Allocat (2)'!O101/'FY20 Initial Budget Allocat FTE'!O$121</f>
        <v>0</v>
      </c>
      <c r="P101" s="115">
        <f>'[8]FY20 Initial Budget Allocat (2)'!P101/'FY20 Initial Budget Allocat FTE'!P$121</f>
        <v>0</v>
      </c>
      <c r="Q101" s="115">
        <f>'[8]FY20 Initial Budget Allocat (2)'!Q101/'FY20 Initial Budget Allocat FTE'!Q$121</f>
        <v>0</v>
      </c>
      <c r="R101" s="115">
        <f>'[8]FY20 Initial Budget Allocat (2)'!R101/'FY20 Initial Budget Allocat FTE'!R$121</f>
        <v>1</v>
      </c>
      <c r="S101" s="115">
        <f>'[8]FY20 Initial Budget Allocat (2)'!S101/'FY20 Initial Budget Allocat FTE'!S$121</f>
        <v>1</v>
      </c>
      <c r="T101" s="115">
        <f>'[8]FY20 Initial Budget Allocat (2)'!T101/'FY20 Initial Budget Allocat FTE'!T$121</f>
        <v>2</v>
      </c>
      <c r="U101" s="115">
        <f>'[8]FY20 Initial Budget Allocat (2)'!U101/'FY20 Initial Budget Allocat FTE'!U$121</f>
        <v>1</v>
      </c>
      <c r="V101" s="115">
        <f>'[8]FY20 Initial Budget Allocat (2)'!V101/'FY20 Initial Budget Allocat FTE'!V$121</f>
        <v>1</v>
      </c>
      <c r="W101" s="115">
        <f>'[8]FY20 Initial Budget Allocat (2)'!W101/'FY20 Initial Budget Allocat FTE'!W$121</f>
        <v>1</v>
      </c>
      <c r="X101" s="115">
        <f>'[8]FY20 Initial Budget Allocat (2)'!X101/'FY20 Initial Budget Allocat FTE'!X$121</f>
        <v>1</v>
      </c>
      <c r="Y101" s="115">
        <f>'[8]FY20 Initial Budget Allocat (2)'!Y101/'FY20 Initial Budget Allocat FTE'!Y$121</f>
        <v>1.5000000000000002</v>
      </c>
      <c r="Z101" s="115">
        <f>'[8]FY20 Initial Budget Allocat (2)'!Z101/'FY20 Initial Budget Allocat FTE'!Z$121</f>
        <v>0</v>
      </c>
      <c r="AA101" s="115">
        <f>'[8]FY20 Initial Budget Allocat (2)'!AA101/'FY20 Initial Budget Allocat FTE'!AA$121</f>
        <v>0</v>
      </c>
      <c r="AB101" s="115">
        <f>'[8]FY20 Initial Budget Allocat (2)'!AB101/'FY20 Initial Budget Allocat FTE'!AB$121</f>
        <v>0</v>
      </c>
      <c r="AC101" s="115">
        <f>'[8]FY20 Initial Budget Allocat (2)'!AC101/'FY20 Initial Budget Allocat FTE'!AC$121</f>
        <v>0</v>
      </c>
      <c r="AD101" s="115">
        <f>'[8]FY20 Initial Budget Allocat (2)'!AD101/'FY20 Initial Budget Allocat FTE'!AD$121</f>
        <v>0</v>
      </c>
      <c r="AE101" s="115">
        <f>'[8]FY20 Initial Budget Allocat (2)'!AE101/'FY20 Initial Budget Allocat FTE'!AE$121</f>
        <v>1</v>
      </c>
      <c r="AF101" s="115">
        <f>'[8]FY20 Initial Budget Allocat (2)'!AF101/'FY20 Initial Budget Allocat FTE'!AF$121</f>
        <v>1</v>
      </c>
      <c r="AG101" s="115">
        <f>'[8]FY20 Initial Budget Allocat (2)'!AG101/'FY20 Initial Budget Allocat FTE'!AG$121</f>
        <v>4</v>
      </c>
      <c r="AH101" s="115">
        <f>'[8]FY20 Initial Budget Allocat (2)'!AH101/'FY20 Initial Budget Allocat FTE'!AH$121</f>
        <v>4</v>
      </c>
      <c r="AI101" s="115">
        <f>'[8]FY20 Initial Budget Allocat (2)'!AI101/'FY20 Initial Budget Allocat FTE'!AI$121</f>
        <v>4</v>
      </c>
      <c r="AJ101" s="115">
        <f>'[8]FY20 Initial Budget Allocat (2)'!AJ101/'FY20 Initial Budget Allocat FTE'!AJ$121</f>
        <v>4</v>
      </c>
      <c r="AK101" s="115">
        <f>'[8]FY20 Initial Budget Allocat (2)'!AK101/'FY20 Initial Budget Allocat FTE'!AK$121</f>
        <v>4</v>
      </c>
      <c r="AL101" s="115">
        <f>'[8]FY20 Initial Budget Allocat (2)'!AL101/'FY20 Initial Budget Allocat FTE'!AL$121</f>
        <v>3.0000000000000004</v>
      </c>
      <c r="AM101" s="115">
        <f>'[8]FY20 Initial Budget Allocat (2)'!AM101/'FY20 Initial Budget Allocat FTE'!AM$121</f>
        <v>3.0000000000000004</v>
      </c>
      <c r="AN101" s="115">
        <f>'[8]FY20 Initial Budget Allocat (2)'!AN101/'FY20 Initial Budget Allocat FTE'!AN$121</f>
        <v>0</v>
      </c>
      <c r="AO101" s="115">
        <f>'[8]FY20 Initial Budget Allocat (2)'!AO101/'FY20 Initial Budget Allocat FTE'!AO$121</f>
        <v>0</v>
      </c>
      <c r="AP101" s="115">
        <f>'[8]FY20 Initial Budget Allocat (2)'!AP101/'FY20 Initial Budget Allocat FTE'!AP$121</f>
        <v>0</v>
      </c>
      <c r="AQ101" s="115">
        <f>'[8]FY20 Initial Budget Allocat (2)'!AQ101/'FY20 Initial Budget Allocat FTE'!AQ$121</f>
        <v>0</v>
      </c>
      <c r="AR101" s="115">
        <f>'[8]FY20 Initial Budget Allocat (2)'!AR101/'FY20 Initial Budget Allocat FTE'!AR$121</f>
        <v>0</v>
      </c>
      <c r="AS101" s="115">
        <f>'[8]FY20 Initial Budget Allocat (2)'!AS101/'FY20 Initial Budget Allocat FTE'!AS$121</f>
        <v>0</v>
      </c>
      <c r="AT101" s="115">
        <f>'[8]FY20 Initial Budget Allocat (2)'!AT101/'FY20 Initial Budget Allocat FTE'!AT$121</f>
        <v>0</v>
      </c>
      <c r="AU101" s="115">
        <f>'[8]FY20 Initial Budget Allocat (2)'!AU101/'FY20 Initial Budget Allocat FTE'!AU$121</f>
        <v>0</v>
      </c>
      <c r="AV101" s="115">
        <f>'[8]FY20 Initial Budget Allocat (2)'!AV101/'FY20 Initial Budget Allocat FTE'!AV$121</f>
        <v>0</v>
      </c>
      <c r="AW101" s="115">
        <f>'[8]FY20 Initial Budget Allocat (2)'!AW101/'FY20 Initial Budget Allocat FTE'!AW$121</f>
        <v>0</v>
      </c>
      <c r="AX101" s="115">
        <f>'[8]FY20 Initial Budget Allocat (2)'!AX101/'FY20 Initial Budget Allocat FTE'!AX$121</f>
        <v>0.5</v>
      </c>
      <c r="AY101" s="115">
        <f>'[8]FY20 Initial Budget Allocat (2)'!AY101/'FY20 Initial Budget Allocat FTE'!AY$121</f>
        <v>1</v>
      </c>
      <c r="AZ101" s="115">
        <f>'[8]FY20 Initial Budget Allocat (2)'!AZ101/'FY20 Initial Budget Allocat FTE'!AZ$121</f>
        <v>2</v>
      </c>
      <c r="BA101" s="115">
        <f>'[8]FY20 Initial Budget Allocat (2)'!BA101/'FY20 Initial Budget Allocat FTE'!BA$121</f>
        <v>0</v>
      </c>
      <c r="BB101" s="115">
        <f>'[8]FY20 Initial Budget Allocat (2)'!BB101/'FY20 Initial Budget Allocat FTE'!BB$121</f>
        <v>0</v>
      </c>
      <c r="BC101" s="115">
        <f>'[8]FY20 Initial Budget Allocat (2)'!BC101/'FY20 Initial Budget Allocat FTE'!BC$121</f>
        <v>0</v>
      </c>
      <c r="BD101" s="115">
        <f>'[8]FY20 Initial Budget Allocat (2)'!BD101/'FY20 Initial Budget Allocat FTE'!BD$121</f>
        <v>5</v>
      </c>
      <c r="BE101" s="115">
        <f>'[8]FY20 Initial Budget Allocat (2)'!BE101/'FY20 Initial Budget Allocat FTE'!BE$121</f>
        <v>0</v>
      </c>
      <c r="BF101" s="115">
        <f>'[8]FY20 Initial Budget Allocat (2)'!BF101/'FY20 Initial Budget Allocat FTE'!BF$121</f>
        <v>1</v>
      </c>
      <c r="BG101" s="115">
        <f>'[8]FY20 Initial Budget Allocat (2)'!BG101/'FY20 Initial Budget Allocat FTE'!BG$121</f>
        <v>0</v>
      </c>
      <c r="BH101" s="115">
        <f>'[8]FY20 Initial Budget Allocat (2)'!BH101/'FY20 Initial Budget Allocat FTE'!BH$121</f>
        <v>0</v>
      </c>
      <c r="BI101" s="115">
        <f>'[8]FY20 Initial Budget Allocat (2)'!BI101/'FY20 Initial Budget Allocat FTE'!BI$121</f>
        <v>0</v>
      </c>
      <c r="BJ101" s="79"/>
      <c r="BK101" s="79">
        <v>0</v>
      </c>
      <c r="BL101" s="79"/>
      <c r="BM101" s="79">
        <v>0</v>
      </c>
      <c r="BN101" s="79">
        <v>0</v>
      </c>
      <c r="BO101" s="79">
        <v>10950</v>
      </c>
      <c r="BP101" s="115">
        <f>'[8]FY20 Initial Budget Allocat (2)'!BP101/'FY20 Initial Budget Allocat FTE'!BP$121</f>
        <v>0</v>
      </c>
      <c r="BQ101" s="115">
        <f>'[8]FY20 Initial Budget Allocat (2)'!BQ101/'FY20 Initial Budget Allocat FTE'!BQ$121</f>
        <v>0</v>
      </c>
      <c r="BR101" s="115">
        <f>'[8]FY20 Initial Budget Allocat (2)'!BR101/'FY20 Initial Budget Allocat FTE'!BR$121</f>
        <v>0</v>
      </c>
      <c r="BS101" s="115">
        <f>'[8]FY20 Initial Budget Allocat (2)'!BS101/'FY20 Initial Budget Allocat FTE'!BS$121</f>
        <v>0</v>
      </c>
      <c r="BT101" s="115">
        <f>'[8]FY20 Initial Budget Allocat (2)'!BT101/'FY20 Initial Budget Allocat FTE'!BT$121</f>
        <v>0</v>
      </c>
      <c r="BU101" s="115">
        <f>'[8]FY20 Initial Budget Allocat (2)'!BU101/'FY20 Initial Budget Allocat FTE'!BU$121</f>
        <v>0</v>
      </c>
      <c r="BV101" s="115">
        <f>'[8]FY20 Initial Budget Allocat (2)'!BV101/'FY20 Initial Budget Allocat FTE'!BV$121</f>
        <v>0</v>
      </c>
      <c r="BW101" s="80">
        <v>0</v>
      </c>
      <c r="BX101" s="80">
        <v>0</v>
      </c>
      <c r="BY101" s="80">
        <v>0</v>
      </c>
      <c r="BZ101" s="80">
        <v>0</v>
      </c>
      <c r="CA101" s="115">
        <f>'[8]FY20 Initial Budget Allocat (2)'!CA101/'FY20 Initial Budget Allocat FTE'!CA$121</f>
        <v>0</v>
      </c>
      <c r="CB101" s="115">
        <f>'[8]FY20 Initial Budget Allocat (2)'!CB101/'FY20 Initial Budget Allocat FTE'!CB$121</f>
        <v>0</v>
      </c>
      <c r="CC101" s="80">
        <v>0</v>
      </c>
      <c r="CD101" s="115">
        <f>'[8]FY20 Initial Budget Allocat (2)'!CD101/'FY20 Initial Budget Allocat FTE'!CD$121</f>
        <v>0</v>
      </c>
      <c r="CE101" s="115">
        <f>'[8]FY20 Initial Budget Allocat (2)'!CE101/'FY20 Initial Budget Allocat FTE'!CE$121</f>
        <v>0</v>
      </c>
      <c r="CF101" s="115">
        <f>'[8]FY20 Initial Budget Allocat (2)'!CF101/'FY20 Initial Budget Allocat FTE'!CF$121</f>
        <v>0</v>
      </c>
      <c r="CG101" s="115">
        <f>'[8]FY20 Initial Budget Allocat (2)'!CG101/'FY20 Initial Budget Allocat FTE'!CG$121</f>
        <v>0</v>
      </c>
      <c r="CH101" s="115">
        <f>'[8]FY20 Initial Budget Allocat (2)'!CH101/'FY20 Initial Budget Allocat FTE'!CH$121</f>
        <v>0</v>
      </c>
      <c r="CI101" s="115">
        <f>'[8]FY20 Initial Budget Allocat (2)'!CI101/'FY20 Initial Budget Allocat FTE'!CI$121</f>
        <v>0</v>
      </c>
      <c r="CJ101" s="115">
        <f>'[8]FY20 Initial Budget Allocat (2)'!CJ101/'FY20 Initial Budget Allocat FTE'!CJ$121</f>
        <v>0</v>
      </c>
      <c r="CK101" s="79">
        <v>0</v>
      </c>
      <c r="CL101" s="79">
        <v>0</v>
      </c>
      <c r="CM101" s="79">
        <v>54082.8</v>
      </c>
      <c r="CN101" s="79">
        <v>0</v>
      </c>
      <c r="CO101" s="115">
        <f>'[8]FY20 Initial Budget Allocat (2)'!CO101/'FY20 Initial Budget Allocat FTE'!CO$121</f>
        <v>0</v>
      </c>
      <c r="CP101" s="79">
        <v>0</v>
      </c>
      <c r="CQ101" s="79">
        <v>0</v>
      </c>
      <c r="CR101" s="79">
        <v>0</v>
      </c>
      <c r="CS101" s="79">
        <v>25243.307911392403</v>
      </c>
      <c r="CT101" s="115">
        <f>'[8]FY20 Initial Budget Allocat (2)'!CT101/'FY20 Initial Budget Allocat FTE'!CT$121</f>
        <v>0</v>
      </c>
      <c r="CU101" s="115">
        <f>'[8]FY20 Initial Budget Allocat (2)'!CU101/'FY20 Initial Budget Allocat FTE'!CU$121</f>
        <v>0</v>
      </c>
      <c r="CV101" s="79"/>
      <c r="CW101" s="79">
        <v>0</v>
      </c>
      <c r="CX101" s="115">
        <f>'[8]FY20 Initial Budget Allocat (2)'!CX101/'FY20 Initial Budget Allocat FTE'!CX$121</f>
        <v>0</v>
      </c>
      <c r="CY101" s="79">
        <v>0</v>
      </c>
      <c r="CZ101" s="79">
        <v>0</v>
      </c>
      <c r="DA101" s="79">
        <v>47100</v>
      </c>
      <c r="DB101" s="79">
        <v>83486.604308192764</v>
      </c>
      <c r="DC101" s="82">
        <v>0</v>
      </c>
      <c r="DD101" s="79">
        <v>0</v>
      </c>
      <c r="DE101" s="79"/>
      <c r="DF101" s="79">
        <v>1800</v>
      </c>
      <c r="DG101" s="79">
        <v>0</v>
      </c>
      <c r="DH101" s="83">
        <v>0</v>
      </c>
      <c r="DI101" s="79">
        <v>11482.305913798853</v>
      </c>
      <c r="DJ101" s="79">
        <v>5408166.0853992607</v>
      </c>
      <c r="DK101" s="84">
        <v>22013.914600739256</v>
      </c>
      <c r="DL101" s="84">
        <v>0</v>
      </c>
      <c r="DM101" s="84">
        <f t="shared" si="6"/>
        <v>5430180</v>
      </c>
      <c r="DN101" s="116">
        <f t="shared" si="7"/>
        <v>5</v>
      </c>
      <c r="DO101" s="116">
        <f t="shared" si="8"/>
        <v>5</v>
      </c>
      <c r="DP101" s="116">
        <f t="shared" si="9"/>
        <v>18</v>
      </c>
      <c r="DQ101" s="116">
        <f t="shared" si="10"/>
        <v>9.5</v>
      </c>
      <c r="DR101" s="116">
        <f t="shared" si="11"/>
        <v>0</v>
      </c>
    </row>
    <row r="102" spans="1:122" x14ac:dyDescent="0.25">
      <c r="A102" s="76">
        <v>428</v>
      </c>
      <c r="B102" s="76" t="s">
        <v>243</v>
      </c>
      <c r="C102" s="77" t="s">
        <v>152</v>
      </c>
      <c r="D102" s="41">
        <v>6</v>
      </c>
      <c r="E102" s="78">
        <v>483</v>
      </c>
      <c r="F102" s="78">
        <v>166.48387096774192</v>
      </c>
      <c r="G102" s="115">
        <f>'[8]FY20 Initial Budget Allocat (2)'!G102/'FY20 Initial Budget Allocat FTE'!G$121</f>
        <v>1</v>
      </c>
      <c r="H102" s="115">
        <f>'[8]FY20 Initial Budget Allocat (2)'!H102/'FY20 Initial Budget Allocat FTE'!H$121</f>
        <v>1</v>
      </c>
      <c r="I102" s="115">
        <f>'[8]FY20 Initial Budget Allocat (2)'!I102/'FY20 Initial Budget Allocat FTE'!I$121</f>
        <v>1.6</v>
      </c>
      <c r="J102" s="115">
        <f>'[8]FY20 Initial Budget Allocat (2)'!J102/'FY20 Initial Budget Allocat FTE'!J$121</f>
        <v>1.2</v>
      </c>
      <c r="K102" s="115">
        <f>'[8]FY20 Initial Budget Allocat (2)'!K102/'FY20 Initial Budget Allocat FTE'!K$121</f>
        <v>0</v>
      </c>
      <c r="L102" s="115">
        <f>'[8]FY20 Initial Budget Allocat (2)'!L102/'FY20 Initial Budget Allocat FTE'!L$121</f>
        <v>1</v>
      </c>
      <c r="M102" s="115">
        <f>'[8]FY20 Initial Budget Allocat (2)'!M102/'FY20 Initial Budget Allocat FTE'!M$121</f>
        <v>1</v>
      </c>
      <c r="N102" s="115">
        <f>'[8]FY20 Initial Budget Allocat (2)'!N102/'FY20 Initial Budget Allocat FTE'!N$121</f>
        <v>1.2</v>
      </c>
      <c r="O102" s="115">
        <f>'[8]FY20 Initial Budget Allocat (2)'!O102/'FY20 Initial Budget Allocat FTE'!O$121</f>
        <v>0</v>
      </c>
      <c r="P102" s="115">
        <f>'[8]FY20 Initial Budget Allocat (2)'!P102/'FY20 Initial Budget Allocat FTE'!P$121</f>
        <v>0</v>
      </c>
      <c r="Q102" s="115">
        <f>'[8]FY20 Initial Budget Allocat (2)'!Q102/'FY20 Initial Budget Allocat FTE'!Q$121</f>
        <v>0</v>
      </c>
      <c r="R102" s="115">
        <f>'[8]FY20 Initial Budget Allocat (2)'!R102/'FY20 Initial Budget Allocat FTE'!R$121</f>
        <v>1</v>
      </c>
      <c r="S102" s="115">
        <f>'[8]FY20 Initial Budget Allocat (2)'!S102/'FY20 Initial Budget Allocat FTE'!S$121</f>
        <v>1</v>
      </c>
      <c r="T102" s="115">
        <f>'[8]FY20 Initial Budget Allocat (2)'!T102/'FY20 Initial Budget Allocat FTE'!T$121</f>
        <v>3</v>
      </c>
      <c r="U102" s="115">
        <f>'[8]FY20 Initial Budget Allocat (2)'!U102/'FY20 Initial Budget Allocat FTE'!U$121</f>
        <v>1</v>
      </c>
      <c r="V102" s="115">
        <f>'[8]FY20 Initial Budget Allocat (2)'!V102/'FY20 Initial Budget Allocat FTE'!V$121</f>
        <v>0</v>
      </c>
      <c r="W102" s="115">
        <f>'[8]FY20 Initial Budget Allocat (2)'!W102/'FY20 Initial Budget Allocat FTE'!W$121</f>
        <v>0</v>
      </c>
      <c r="X102" s="115">
        <f>'[8]FY20 Initial Budget Allocat (2)'!X102/'FY20 Initial Budget Allocat FTE'!X$121</f>
        <v>0</v>
      </c>
      <c r="Y102" s="115">
        <f>'[8]FY20 Initial Budget Allocat (2)'!Y102/'FY20 Initial Budget Allocat FTE'!Y$121</f>
        <v>0</v>
      </c>
      <c r="Z102" s="115">
        <f>'[8]FY20 Initial Budget Allocat (2)'!Z102/'FY20 Initial Budget Allocat FTE'!Z$121</f>
        <v>0</v>
      </c>
      <c r="AA102" s="115">
        <f>'[8]FY20 Initial Budget Allocat (2)'!AA102/'FY20 Initial Budget Allocat FTE'!AA$121</f>
        <v>0</v>
      </c>
      <c r="AB102" s="115">
        <f>'[8]FY20 Initial Budget Allocat (2)'!AB102/'FY20 Initial Budget Allocat FTE'!AB$121</f>
        <v>0</v>
      </c>
      <c r="AC102" s="115">
        <f>'[8]FY20 Initial Budget Allocat (2)'!AC102/'FY20 Initial Budget Allocat FTE'!AC$121</f>
        <v>0</v>
      </c>
      <c r="AD102" s="115">
        <f>'[8]FY20 Initial Budget Allocat (2)'!AD102/'FY20 Initial Budget Allocat FTE'!AD$121</f>
        <v>0</v>
      </c>
      <c r="AE102" s="115">
        <f>'[8]FY20 Initial Budget Allocat (2)'!AE102/'FY20 Initial Budget Allocat FTE'!AE$121</f>
        <v>0</v>
      </c>
      <c r="AF102" s="115">
        <f>'[8]FY20 Initial Budget Allocat (2)'!AF102/'FY20 Initial Budget Allocat FTE'!AF$121</f>
        <v>0</v>
      </c>
      <c r="AG102" s="115">
        <f>'[8]FY20 Initial Budget Allocat (2)'!AG102/'FY20 Initial Budget Allocat FTE'!AG$121</f>
        <v>0</v>
      </c>
      <c r="AH102" s="115">
        <f>'[8]FY20 Initial Budget Allocat (2)'!AH102/'FY20 Initial Budget Allocat FTE'!AH$121</f>
        <v>0</v>
      </c>
      <c r="AI102" s="115">
        <f>'[8]FY20 Initial Budget Allocat (2)'!AI102/'FY20 Initial Budget Allocat FTE'!AI$121</f>
        <v>0</v>
      </c>
      <c r="AJ102" s="115">
        <f>'[8]FY20 Initial Budget Allocat (2)'!AJ102/'FY20 Initial Budget Allocat FTE'!AJ$121</f>
        <v>0</v>
      </c>
      <c r="AK102" s="115">
        <f>'[8]FY20 Initial Budget Allocat (2)'!AK102/'FY20 Initial Budget Allocat FTE'!AK$121</f>
        <v>0</v>
      </c>
      <c r="AL102" s="115">
        <f>'[8]FY20 Initial Budget Allocat (2)'!AL102/'FY20 Initial Budget Allocat FTE'!AL$121</f>
        <v>0</v>
      </c>
      <c r="AM102" s="115">
        <f>'[8]FY20 Initial Budget Allocat (2)'!AM102/'FY20 Initial Budget Allocat FTE'!AM$121</f>
        <v>0</v>
      </c>
      <c r="AN102" s="115">
        <f>'[8]FY20 Initial Budget Allocat (2)'!AN102/'FY20 Initial Budget Allocat FTE'!AN$121</f>
        <v>8.3000000000000007</v>
      </c>
      <c r="AO102" s="115">
        <f>'[8]FY20 Initial Budget Allocat (2)'!AO102/'FY20 Initial Budget Allocat FTE'!AO$121</f>
        <v>7.8</v>
      </c>
      <c r="AP102" s="115">
        <f>'[8]FY20 Initial Budget Allocat (2)'!AP102/'FY20 Initial Budget Allocat FTE'!AP$121</f>
        <v>5.9</v>
      </c>
      <c r="AQ102" s="115">
        <f>'[8]FY20 Initial Budget Allocat (2)'!AQ102/'FY20 Initial Budget Allocat FTE'!AQ$121</f>
        <v>0</v>
      </c>
      <c r="AR102" s="115">
        <f>'[8]FY20 Initial Budget Allocat (2)'!AR102/'FY20 Initial Budget Allocat FTE'!AR$121</f>
        <v>0</v>
      </c>
      <c r="AS102" s="115">
        <f>'[8]FY20 Initial Budget Allocat (2)'!AS102/'FY20 Initial Budget Allocat FTE'!AS$121</f>
        <v>0</v>
      </c>
      <c r="AT102" s="115">
        <f>'[8]FY20 Initial Budget Allocat (2)'!AT102/'FY20 Initial Budget Allocat FTE'!AT$121</f>
        <v>0</v>
      </c>
      <c r="AU102" s="115">
        <f>'[8]FY20 Initial Budget Allocat (2)'!AU102/'FY20 Initial Budget Allocat FTE'!AU$121</f>
        <v>0</v>
      </c>
      <c r="AV102" s="115">
        <f>'[8]FY20 Initial Budget Allocat (2)'!AV102/'FY20 Initial Budget Allocat FTE'!AV$121</f>
        <v>0</v>
      </c>
      <c r="AW102" s="115">
        <f>'[8]FY20 Initial Budget Allocat (2)'!AW102/'FY20 Initial Budget Allocat FTE'!AW$121</f>
        <v>0</v>
      </c>
      <c r="AX102" s="115">
        <f>'[8]FY20 Initial Budget Allocat (2)'!AX102/'FY20 Initial Budget Allocat FTE'!AX$121</f>
        <v>1</v>
      </c>
      <c r="AY102" s="115">
        <f>'[8]FY20 Initial Budget Allocat (2)'!AY102/'FY20 Initial Budget Allocat FTE'!AY$121</f>
        <v>1</v>
      </c>
      <c r="AZ102" s="115">
        <f>'[8]FY20 Initial Budget Allocat (2)'!AZ102/'FY20 Initial Budget Allocat FTE'!AZ$121</f>
        <v>8</v>
      </c>
      <c r="BA102" s="115">
        <f>'[8]FY20 Initial Budget Allocat (2)'!BA102/'FY20 Initial Budget Allocat FTE'!BA$121</f>
        <v>3</v>
      </c>
      <c r="BB102" s="115">
        <f>'[8]FY20 Initial Budget Allocat (2)'!BB102/'FY20 Initial Budget Allocat FTE'!BB$121</f>
        <v>0</v>
      </c>
      <c r="BC102" s="115">
        <f>'[8]FY20 Initial Budget Allocat (2)'!BC102/'FY20 Initial Budget Allocat FTE'!BC$121</f>
        <v>0</v>
      </c>
      <c r="BD102" s="115">
        <f>'[8]FY20 Initial Budget Allocat (2)'!BD102/'FY20 Initial Budget Allocat FTE'!BD$121</f>
        <v>1</v>
      </c>
      <c r="BE102" s="115">
        <f>'[8]FY20 Initial Budget Allocat (2)'!BE102/'FY20 Initial Budget Allocat FTE'!BE$121</f>
        <v>0</v>
      </c>
      <c r="BF102" s="115">
        <f>'[8]FY20 Initial Budget Allocat (2)'!BF102/'FY20 Initial Budget Allocat FTE'!BF$121</f>
        <v>0</v>
      </c>
      <c r="BG102" s="115">
        <f>'[8]FY20 Initial Budget Allocat (2)'!BG102/'FY20 Initial Budget Allocat FTE'!BG$121</f>
        <v>0</v>
      </c>
      <c r="BH102" s="115">
        <f>'[8]FY20 Initial Budget Allocat (2)'!BH102/'FY20 Initial Budget Allocat FTE'!BH$121</f>
        <v>0</v>
      </c>
      <c r="BI102" s="115">
        <f>'[8]FY20 Initial Budget Allocat (2)'!BI102/'FY20 Initial Budget Allocat FTE'!BI$121</f>
        <v>0</v>
      </c>
      <c r="BJ102" s="79"/>
      <c r="BK102" s="79">
        <v>0</v>
      </c>
      <c r="BL102" s="79"/>
      <c r="BM102" s="79">
        <v>92732.12</v>
      </c>
      <c r="BN102" s="79">
        <v>1475.61</v>
      </c>
      <c r="BO102" s="79">
        <v>0</v>
      </c>
      <c r="BP102" s="115">
        <f>'[8]FY20 Initial Budget Allocat (2)'!BP102/'FY20 Initial Budget Allocat FTE'!BP$121</f>
        <v>0</v>
      </c>
      <c r="BQ102" s="115">
        <f>'[8]FY20 Initial Budget Allocat (2)'!BQ102/'FY20 Initial Budget Allocat FTE'!BQ$121</f>
        <v>1</v>
      </c>
      <c r="BR102" s="115">
        <f>'[8]FY20 Initial Budget Allocat (2)'!BR102/'FY20 Initial Budget Allocat FTE'!BR$121</f>
        <v>1</v>
      </c>
      <c r="BS102" s="115">
        <f>'[8]FY20 Initial Budget Allocat (2)'!BS102/'FY20 Initial Budget Allocat FTE'!BS$121</f>
        <v>0</v>
      </c>
      <c r="BT102" s="115">
        <f>'[8]FY20 Initial Budget Allocat (2)'!BT102/'FY20 Initial Budget Allocat FTE'!BT$121</f>
        <v>0</v>
      </c>
      <c r="BU102" s="115">
        <f>'[8]FY20 Initial Budget Allocat (2)'!BU102/'FY20 Initial Budget Allocat FTE'!BU$121</f>
        <v>0</v>
      </c>
      <c r="BV102" s="115">
        <f>'[8]FY20 Initial Budget Allocat (2)'!BV102/'FY20 Initial Budget Allocat FTE'!BV$121</f>
        <v>0</v>
      </c>
      <c r="BW102" s="80">
        <v>0</v>
      </c>
      <c r="BX102" s="80">
        <v>0</v>
      </c>
      <c r="BY102" s="80">
        <v>0</v>
      </c>
      <c r="BZ102" s="80">
        <v>0</v>
      </c>
      <c r="CA102" s="115">
        <f>'[8]FY20 Initial Budget Allocat (2)'!CA102/'FY20 Initial Budget Allocat FTE'!CA$121</f>
        <v>0</v>
      </c>
      <c r="CB102" s="115">
        <f>'[8]FY20 Initial Budget Allocat (2)'!CB102/'FY20 Initial Budget Allocat FTE'!CB$121</f>
        <v>0</v>
      </c>
      <c r="CC102" s="80">
        <v>0</v>
      </c>
      <c r="CD102" s="115">
        <f>'[8]FY20 Initial Budget Allocat (2)'!CD102/'FY20 Initial Budget Allocat FTE'!CD$121</f>
        <v>0</v>
      </c>
      <c r="CE102" s="115">
        <f>'[8]FY20 Initial Budget Allocat (2)'!CE102/'FY20 Initial Budget Allocat FTE'!CE$121</f>
        <v>0</v>
      </c>
      <c r="CF102" s="115">
        <f>'[8]FY20 Initial Budget Allocat (2)'!CF102/'FY20 Initial Budget Allocat FTE'!CF$121</f>
        <v>0</v>
      </c>
      <c r="CG102" s="115">
        <f>'[8]FY20 Initial Budget Allocat (2)'!CG102/'FY20 Initial Budget Allocat FTE'!CG$121</f>
        <v>0</v>
      </c>
      <c r="CH102" s="115">
        <f>'[8]FY20 Initial Budget Allocat (2)'!CH102/'FY20 Initial Budget Allocat FTE'!CH$121</f>
        <v>0</v>
      </c>
      <c r="CI102" s="115">
        <f>'[8]FY20 Initial Budget Allocat (2)'!CI102/'FY20 Initial Budget Allocat FTE'!CI$121</f>
        <v>3.0000000000000004</v>
      </c>
      <c r="CJ102" s="115">
        <f>'[8]FY20 Initial Budget Allocat (2)'!CJ102/'FY20 Initial Budget Allocat FTE'!CJ$121</f>
        <v>0</v>
      </c>
      <c r="CK102" s="79">
        <v>23000</v>
      </c>
      <c r="CL102" s="79">
        <v>5000</v>
      </c>
      <c r="CM102" s="79">
        <v>227444.6</v>
      </c>
      <c r="CN102" s="79">
        <v>100000</v>
      </c>
      <c r="CO102" s="115">
        <f>'[8]FY20 Initial Budget Allocat (2)'!CO102/'FY20 Initial Budget Allocat FTE'!CO$121</f>
        <v>0</v>
      </c>
      <c r="CP102" s="79">
        <v>0</v>
      </c>
      <c r="CQ102" s="79">
        <v>3329.6774193548385</v>
      </c>
      <c r="CR102" s="79">
        <v>0</v>
      </c>
      <c r="CS102" s="79">
        <v>37457.4</v>
      </c>
      <c r="CT102" s="115">
        <f>'[8]FY20 Initial Budget Allocat (2)'!CT102/'FY20 Initial Budget Allocat FTE'!CT$121</f>
        <v>0</v>
      </c>
      <c r="CU102" s="115">
        <f>'[8]FY20 Initial Budget Allocat (2)'!CU102/'FY20 Initial Budget Allocat FTE'!CU$121</f>
        <v>0</v>
      </c>
      <c r="CV102" s="79"/>
      <c r="CW102" s="79">
        <v>0</v>
      </c>
      <c r="CX102" s="115">
        <f>'[8]FY20 Initial Budget Allocat (2)'!CX102/'FY20 Initial Budget Allocat FTE'!CX$121</f>
        <v>0</v>
      </c>
      <c r="CY102" s="79">
        <v>0</v>
      </c>
      <c r="CZ102" s="79">
        <v>0</v>
      </c>
      <c r="DA102" s="79">
        <v>48300</v>
      </c>
      <c r="DB102" s="79">
        <v>90049.671478696706</v>
      </c>
      <c r="DC102" s="82">
        <v>0</v>
      </c>
      <c r="DD102" s="79">
        <v>0</v>
      </c>
      <c r="DE102" s="79"/>
      <c r="DF102" s="79">
        <v>34500</v>
      </c>
      <c r="DG102" s="79">
        <v>0</v>
      </c>
      <c r="DH102" s="83">
        <v>0</v>
      </c>
      <c r="DI102" s="79">
        <v>12746.245084288845</v>
      </c>
      <c r="DJ102" s="79">
        <v>6156436.3757115128</v>
      </c>
      <c r="DK102" s="84">
        <v>1.6342884870246053</v>
      </c>
      <c r="DL102" s="84">
        <v>0</v>
      </c>
      <c r="DM102" s="84">
        <f t="shared" si="6"/>
        <v>6156438.0099999998</v>
      </c>
      <c r="DN102" s="116">
        <f t="shared" si="7"/>
        <v>0</v>
      </c>
      <c r="DO102" s="116">
        <f t="shared" si="8"/>
        <v>0</v>
      </c>
      <c r="DP102" s="116">
        <f t="shared" si="9"/>
        <v>22</v>
      </c>
      <c r="DQ102" s="116">
        <f t="shared" si="10"/>
        <v>11</v>
      </c>
      <c r="DR102" s="116">
        <f t="shared" si="11"/>
        <v>3</v>
      </c>
    </row>
    <row r="103" spans="1:122" x14ac:dyDescent="0.25">
      <c r="A103" s="76">
        <v>324</v>
      </c>
      <c r="B103" s="76" t="s">
        <v>244</v>
      </c>
      <c r="C103" s="77" t="s">
        <v>150</v>
      </c>
      <c r="D103" s="41">
        <v>4</v>
      </c>
      <c r="E103" s="78">
        <v>500</v>
      </c>
      <c r="F103" s="78">
        <v>248.11134903640257</v>
      </c>
      <c r="G103" s="115">
        <f>'[8]FY20 Initial Budget Allocat (2)'!G103/'FY20 Initial Budget Allocat FTE'!G$121</f>
        <v>1</v>
      </c>
      <c r="H103" s="115">
        <f>'[8]FY20 Initial Budget Allocat (2)'!H103/'FY20 Initial Budget Allocat FTE'!H$121</f>
        <v>1</v>
      </c>
      <c r="I103" s="115">
        <f>'[8]FY20 Initial Budget Allocat (2)'!I103/'FY20 Initial Budget Allocat FTE'!I$121</f>
        <v>1.3</v>
      </c>
      <c r="J103" s="115">
        <f>'[8]FY20 Initial Budget Allocat (2)'!J103/'FY20 Initial Budget Allocat FTE'!J$121</f>
        <v>1</v>
      </c>
      <c r="K103" s="115">
        <f>'[8]FY20 Initial Budget Allocat (2)'!K103/'FY20 Initial Budget Allocat FTE'!K$121</f>
        <v>0</v>
      </c>
      <c r="L103" s="115">
        <f>'[8]FY20 Initial Budget Allocat (2)'!L103/'FY20 Initial Budget Allocat FTE'!L$121</f>
        <v>1</v>
      </c>
      <c r="M103" s="115">
        <f>'[8]FY20 Initial Budget Allocat (2)'!M103/'FY20 Initial Budget Allocat FTE'!M$121</f>
        <v>1</v>
      </c>
      <c r="N103" s="115">
        <f>'[8]FY20 Initial Budget Allocat (2)'!N103/'FY20 Initial Budget Allocat FTE'!N$121</f>
        <v>1.3</v>
      </c>
      <c r="O103" s="115">
        <f>'[8]FY20 Initial Budget Allocat (2)'!O103/'FY20 Initial Budget Allocat FTE'!O$121</f>
        <v>0</v>
      </c>
      <c r="P103" s="115">
        <f>'[8]FY20 Initial Budget Allocat (2)'!P103/'FY20 Initial Budget Allocat FTE'!P$121</f>
        <v>0</v>
      </c>
      <c r="Q103" s="115">
        <f>'[8]FY20 Initial Budget Allocat (2)'!Q103/'FY20 Initial Budget Allocat FTE'!Q$121</f>
        <v>0</v>
      </c>
      <c r="R103" s="115">
        <f>'[8]FY20 Initial Budget Allocat (2)'!R103/'FY20 Initial Budget Allocat FTE'!R$121</f>
        <v>1</v>
      </c>
      <c r="S103" s="115">
        <f>'[8]FY20 Initial Budget Allocat (2)'!S103/'FY20 Initial Budget Allocat FTE'!S$121</f>
        <v>1</v>
      </c>
      <c r="T103" s="115">
        <f>'[8]FY20 Initial Budget Allocat (2)'!T103/'FY20 Initial Budget Allocat FTE'!T$121</f>
        <v>3</v>
      </c>
      <c r="U103" s="115">
        <f>'[8]FY20 Initial Budget Allocat (2)'!U103/'FY20 Initial Budget Allocat FTE'!U$121</f>
        <v>1</v>
      </c>
      <c r="V103" s="115">
        <f>'[8]FY20 Initial Budget Allocat (2)'!V103/'FY20 Initial Budget Allocat FTE'!V$121</f>
        <v>1</v>
      </c>
      <c r="W103" s="115">
        <f>'[8]FY20 Initial Budget Allocat (2)'!W103/'FY20 Initial Budget Allocat FTE'!W$121</f>
        <v>1</v>
      </c>
      <c r="X103" s="115">
        <f>'[8]FY20 Initial Budget Allocat (2)'!X103/'FY20 Initial Budget Allocat FTE'!X$121</f>
        <v>1</v>
      </c>
      <c r="Y103" s="115">
        <f>'[8]FY20 Initial Budget Allocat (2)'!Y103/'FY20 Initial Budget Allocat FTE'!Y$121</f>
        <v>1.5000000000000002</v>
      </c>
      <c r="Z103" s="115">
        <f>'[8]FY20 Initial Budget Allocat (2)'!Z103/'FY20 Initial Budget Allocat FTE'!Z$121</f>
        <v>0</v>
      </c>
      <c r="AA103" s="115">
        <f>'[8]FY20 Initial Budget Allocat (2)'!AA103/'FY20 Initial Budget Allocat FTE'!AA$121</f>
        <v>2</v>
      </c>
      <c r="AB103" s="115">
        <f>'[8]FY20 Initial Budget Allocat (2)'!AB103/'FY20 Initial Budget Allocat FTE'!AB$121</f>
        <v>2</v>
      </c>
      <c r="AC103" s="115">
        <f>'[8]FY20 Initial Budget Allocat (2)'!AC103/'FY20 Initial Budget Allocat FTE'!AC$121</f>
        <v>2</v>
      </c>
      <c r="AD103" s="115">
        <f>'[8]FY20 Initial Budget Allocat (2)'!AD103/'FY20 Initial Budget Allocat FTE'!AD$121</f>
        <v>2</v>
      </c>
      <c r="AE103" s="115">
        <f>'[8]FY20 Initial Budget Allocat (2)'!AE103/'FY20 Initial Budget Allocat FTE'!AE$121</f>
        <v>2</v>
      </c>
      <c r="AF103" s="115">
        <f>'[8]FY20 Initial Budget Allocat (2)'!AF103/'FY20 Initial Budget Allocat FTE'!AF$121</f>
        <v>2</v>
      </c>
      <c r="AG103" s="115">
        <f>'[8]FY20 Initial Budget Allocat (2)'!AG103/'FY20 Initial Budget Allocat FTE'!AG$121</f>
        <v>3.0000000000000004</v>
      </c>
      <c r="AH103" s="115">
        <f>'[8]FY20 Initial Budget Allocat (2)'!AH103/'FY20 Initial Budget Allocat FTE'!AH$121</f>
        <v>3</v>
      </c>
      <c r="AI103" s="115">
        <f>'[8]FY20 Initial Budget Allocat (2)'!AI103/'FY20 Initial Budget Allocat FTE'!AI$121</f>
        <v>3.0000000000000004</v>
      </c>
      <c r="AJ103" s="115">
        <f>'[8]FY20 Initial Budget Allocat (2)'!AJ103/'FY20 Initial Budget Allocat FTE'!AJ$121</f>
        <v>2</v>
      </c>
      <c r="AK103" s="115">
        <f>'[8]FY20 Initial Budget Allocat (2)'!AK103/'FY20 Initial Budget Allocat FTE'!AK$121</f>
        <v>2</v>
      </c>
      <c r="AL103" s="115">
        <f>'[8]FY20 Initial Budget Allocat (2)'!AL103/'FY20 Initial Budget Allocat FTE'!AL$121</f>
        <v>2</v>
      </c>
      <c r="AM103" s="115">
        <f>'[8]FY20 Initial Budget Allocat (2)'!AM103/'FY20 Initial Budget Allocat FTE'!AM$121</f>
        <v>2</v>
      </c>
      <c r="AN103" s="115">
        <f>'[8]FY20 Initial Budget Allocat (2)'!AN103/'FY20 Initial Budget Allocat FTE'!AN$121</f>
        <v>0</v>
      </c>
      <c r="AO103" s="115">
        <f>'[8]FY20 Initial Budget Allocat (2)'!AO103/'FY20 Initial Budget Allocat FTE'!AO$121</f>
        <v>2.7999999999999994</v>
      </c>
      <c r="AP103" s="115">
        <f>'[8]FY20 Initial Budget Allocat (2)'!AP103/'FY20 Initial Budget Allocat FTE'!AP$121</f>
        <v>1.7</v>
      </c>
      <c r="AQ103" s="115">
        <f>'[8]FY20 Initial Budget Allocat (2)'!AQ103/'FY20 Initial Budget Allocat FTE'!AQ$121</f>
        <v>0</v>
      </c>
      <c r="AR103" s="115">
        <f>'[8]FY20 Initial Budget Allocat (2)'!AR103/'FY20 Initial Budget Allocat FTE'!AR$121</f>
        <v>0</v>
      </c>
      <c r="AS103" s="115">
        <f>'[8]FY20 Initial Budget Allocat (2)'!AS103/'FY20 Initial Budget Allocat FTE'!AS$121</f>
        <v>0</v>
      </c>
      <c r="AT103" s="115">
        <f>'[8]FY20 Initial Budget Allocat (2)'!AT103/'FY20 Initial Budget Allocat FTE'!AT$121</f>
        <v>0</v>
      </c>
      <c r="AU103" s="115">
        <f>'[8]FY20 Initial Budget Allocat (2)'!AU103/'FY20 Initial Budget Allocat FTE'!AU$121</f>
        <v>0</v>
      </c>
      <c r="AV103" s="115">
        <f>'[8]FY20 Initial Budget Allocat (2)'!AV103/'FY20 Initial Budget Allocat FTE'!AV$121</f>
        <v>0</v>
      </c>
      <c r="AW103" s="115">
        <f>'[8]FY20 Initial Budget Allocat (2)'!AW103/'FY20 Initial Budget Allocat FTE'!AW$121</f>
        <v>0</v>
      </c>
      <c r="AX103" s="115">
        <f>'[8]FY20 Initial Budget Allocat (2)'!AX103/'FY20 Initial Budget Allocat FTE'!AX$121</f>
        <v>1</v>
      </c>
      <c r="AY103" s="115">
        <f>'[8]FY20 Initial Budget Allocat (2)'!AY103/'FY20 Initial Budget Allocat FTE'!AY$121</f>
        <v>2</v>
      </c>
      <c r="AZ103" s="115">
        <f>'[8]FY20 Initial Budget Allocat (2)'!AZ103/'FY20 Initial Budget Allocat FTE'!AZ$121</f>
        <v>8</v>
      </c>
      <c r="BA103" s="115">
        <f>'[8]FY20 Initial Budget Allocat (2)'!BA103/'FY20 Initial Budget Allocat FTE'!BA$121</f>
        <v>8</v>
      </c>
      <c r="BB103" s="115">
        <f>'[8]FY20 Initial Budget Allocat (2)'!BB103/'FY20 Initial Budget Allocat FTE'!BB$121</f>
        <v>0</v>
      </c>
      <c r="BC103" s="115">
        <f>'[8]FY20 Initial Budget Allocat (2)'!BC103/'FY20 Initial Budget Allocat FTE'!BC$121</f>
        <v>1</v>
      </c>
      <c r="BD103" s="115">
        <f>'[8]FY20 Initial Budget Allocat (2)'!BD103/'FY20 Initial Budget Allocat FTE'!BD$121</f>
        <v>8</v>
      </c>
      <c r="BE103" s="115">
        <f>'[8]FY20 Initial Budget Allocat (2)'!BE103/'FY20 Initial Budget Allocat FTE'!BE$121</f>
        <v>0</v>
      </c>
      <c r="BF103" s="115">
        <f>'[8]FY20 Initial Budget Allocat (2)'!BF103/'FY20 Initial Budget Allocat FTE'!BF$121</f>
        <v>1</v>
      </c>
      <c r="BG103" s="115">
        <f>'[8]FY20 Initial Budget Allocat (2)'!BG103/'FY20 Initial Budget Allocat FTE'!BG$121</f>
        <v>3.0630304042766459</v>
      </c>
      <c r="BH103" s="115">
        <f>'[8]FY20 Initial Budget Allocat (2)'!BH103/'FY20 Initial Budget Allocat FTE'!BH$121</f>
        <v>11</v>
      </c>
      <c r="BI103" s="115">
        <f>'[8]FY20 Initial Budget Allocat (2)'!BI103/'FY20 Initial Budget Allocat FTE'!BI$121</f>
        <v>1</v>
      </c>
      <c r="BJ103" s="79"/>
      <c r="BK103" s="79">
        <v>0</v>
      </c>
      <c r="BL103" s="79">
        <v>47510.7</v>
      </c>
      <c r="BM103" s="79">
        <v>224859.06</v>
      </c>
      <c r="BN103" s="79">
        <v>3578.09</v>
      </c>
      <c r="BO103" s="79">
        <v>0</v>
      </c>
      <c r="BP103" s="115">
        <f>'[8]FY20 Initial Budget Allocat (2)'!BP103/'FY20 Initial Budget Allocat FTE'!BP$121</f>
        <v>0</v>
      </c>
      <c r="BQ103" s="115">
        <f>'[8]FY20 Initial Budget Allocat (2)'!BQ103/'FY20 Initial Budget Allocat FTE'!BQ$121</f>
        <v>0</v>
      </c>
      <c r="BR103" s="115">
        <f>'[8]FY20 Initial Budget Allocat (2)'!BR103/'FY20 Initial Budget Allocat FTE'!BR$121</f>
        <v>0</v>
      </c>
      <c r="BS103" s="115">
        <f>'[8]FY20 Initial Budget Allocat (2)'!BS103/'FY20 Initial Budget Allocat FTE'!BS$121</f>
        <v>0</v>
      </c>
      <c r="BT103" s="115">
        <f>'[8]FY20 Initial Budget Allocat (2)'!BT103/'FY20 Initial Budget Allocat FTE'!BT$121</f>
        <v>0</v>
      </c>
      <c r="BU103" s="115">
        <f>'[8]FY20 Initial Budget Allocat (2)'!BU103/'FY20 Initial Budget Allocat FTE'!BU$121</f>
        <v>0</v>
      </c>
      <c r="BV103" s="115">
        <f>'[8]FY20 Initial Budget Allocat (2)'!BV103/'FY20 Initial Budget Allocat FTE'!BV$121</f>
        <v>0</v>
      </c>
      <c r="BW103" s="80">
        <v>0</v>
      </c>
      <c r="BX103" s="80">
        <v>0</v>
      </c>
      <c r="BY103" s="80">
        <v>0</v>
      </c>
      <c r="BZ103" s="80">
        <v>0</v>
      </c>
      <c r="CA103" s="115">
        <f>'[8]FY20 Initial Budget Allocat (2)'!CA103/'FY20 Initial Budget Allocat FTE'!CA$121</f>
        <v>0</v>
      </c>
      <c r="CB103" s="115">
        <f>'[8]FY20 Initial Budget Allocat (2)'!CB103/'FY20 Initial Budget Allocat FTE'!CB$121</f>
        <v>0</v>
      </c>
      <c r="CC103" s="80">
        <v>0</v>
      </c>
      <c r="CD103" s="115">
        <f>'[8]FY20 Initial Budget Allocat (2)'!CD103/'FY20 Initial Budget Allocat FTE'!CD$121</f>
        <v>0</v>
      </c>
      <c r="CE103" s="115">
        <f>'[8]FY20 Initial Budget Allocat (2)'!CE103/'FY20 Initial Budget Allocat FTE'!CE$121</f>
        <v>0</v>
      </c>
      <c r="CF103" s="115">
        <f>'[8]FY20 Initial Budget Allocat (2)'!CF103/'FY20 Initial Budget Allocat FTE'!CF$121</f>
        <v>0</v>
      </c>
      <c r="CG103" s="115">
        <f>'[8]FY20 Initial Budget Allocat (2)'!CG103/'FY20 Initial Budget Allocat FTE'!CG$121</f>
        <v>0</v>
      </c>
      <c r="CH103" s="115">
        <f>'[8]FY20 Initial Budget Allocat (2)'!CH103/'FY20 Initial Budget Allocat FTE'!CH$121</f>
        <v>0</v>
      </c>
      <c r="CI103" s="115">
        <f>'[8]FY20 Initial Budget Allocat (2)'!CI103/'FY20 Initial Budget Allocat FTE'!CI$121</f>
        <v>2</v>
      </c>
      <c r="CJ103" s="115">
        <f>'[8]FY20 Initial Budget Allocat (2)'!CJ103/'FY20 Initial Budget Allocat FTE'!CJ$121</f>
        <v>0</v>
      </c>
      <c r="CK103" s="79">
        <v>23000</v>
      </c>
      <c r="CL103" s="79">
        <v>5000</v>
      </c>
      <c r="CM103" s="79">
        <v>108165.6</v>
      </c>
      <c r="CN103" s="79">
        <v>100000</v>
      </c>
      <c r="CO103" s="115">
        <f>'[8]FY20 Initial Budget Allocat (2)'!CO103/'FY20 Initial Budget Allocat FTE'!CO$121</f>
        <v>0</v>
      </c>
      <c r="CP103" s="79">
        <v>0</v>
      </c>
      <c r="CQ103" s="79">
        <v>4962.2269807280518</v>
      </c>
      <c r="CR103" s="79">
        <v>0</v>
      </c>
      <c r="CS103" s="79">
        <v>31717.911111111112</v>
      </c>
      <c r="CT103" s="115">
        <f>'[8]FY20 Initial Budget Allocat (2)'!CT103/'FY20 Initial Budget Allocat FTE'!CT$121</f>
        <v>0</v>
      </c>
      <c r="CU103" s="115">
        <f>'[8]FY20 Initial Budget Allocat (2)'!CU103/'FY20 Initial Budget Allocat FTE'!CU$121</f>
        <v>0</v>
      </c>
      <c r="CV103" s="79"/>
      <c r="CW103" s="79">
        <v>0</v>
      </c>
      <c r="CX103" s="115">
        <f>'[8]FY20 Initial Budget Allocat (2)'!CX103/'FY20 Initial Budget Allocat FTE'!CX$121</f>
        <v>0</v>
      </c>
      <c r="CY103" s="79">
        <v>0</v>
      </c>
      <c r="CZ103" s="79">
        <v>0</v>
      </c>
      <c r="DA103" s="79">
        <v>50000</v>
      </c>
      <c r="DB103" s="79">
        <v>120874.17646911886</v>
      </c>
      <c r="DC103" s="82">
        <v>0</v>
      </c>
      <c r="DD103" s="79">
        <v>0</v>
      </c>
      <c r="DE103" s="79"/>
      <c r="DF103" s="79">
        <v>45500</v>
      </c>
      <c r="DG103" s="79">
        <v>0</v>
      </c>
      <c r="DH103" s="83">
        <v>0</v>
      </c>
      <c r="DI103" s="79">
        <v>16519.363777459665</v>
      </c>
      <c r="DJ103" s="79">
        <v>8259681.8887298303</v>
      </c>
      <c r="DK103" s="84">
        <v>1.2701693922281265E-3</v>
      </c>
      <c r="DL103" s="84">
        <v>0</v>
      </c>
      <c r="DM103" s="84">
        <f t="shared" si="6"/>
        <v>8259681.8899999997</v>
      </c>
      <c r="DN103" s="116">
        <f t="shared" si="7"/>
        <v>9</v>
      </c>
      <c r="DO103" s="116">
        <f t="shared" si="8"/>
        <v>9</v>
      </c>
      <c r="DP103" s="116">
        <f t="shared" si="9"/>
        <v>15.499999999999998</v>
      </c>
      <c r="DQ103" s="116">
        <f t="shared" si="10"/>
        <v>20</v>
      </c>
      <c r="DR103" s="116">
        <f t="shared" si="11"/>
        <v>8</v>
      </c>
    </row>
    <row r="104" spans="1:122" x14ac:dyDescent="0.25">
      <c r="A104" s="76">
        <v>325</v>
      </c>
      <c r="B104" s="76" t="s">
        <v>245</v>
      </c>
      <c r="C104" s="77" t="s">
        <v>135</v>
      </c>
      <c r="D104" s="41">
        <v>7</v>
      </c>
      <c r="E104" s="78">
        <v>327</v>
      </c>
      <c r="F104" s="78">
        <v>281</v>
      </c>
      <c r="G104" s="115">
        <f>'[8]FY20 Initial Budget Allocat (2)'!G104/'FY20 Initial Budget Allocat FTE'!G$121</f>
        <v>1</v>
      </c>
      <c r="H104" s="115">
        <f>'[8]FY20 Initial Budget Allocat (2)'!H104/'FY20 Initial Budget Allocat FTE'!H$121</f>
        <v>1</v>
      </c>
      <c r="I104" s="115">
        <f>'[8]FY20 Initial Budget Allocat (2)'!I104/'FY20 Initial Budget Allocat FTE'!I$121</f>
        <v>0.8</v>
      </c>
      <c r="J104" s="115">
        <f>'[8]FY20 Initial Budget Allocat (2)'!J104/'FY20 Initial Budget Allocat FTE'!J$121</f>
        <v>0</v>
      </c>
      <c r="K104" s="115">
        <f>'[8]FY20 Initial Budget Allocat (2)'!K104/'FY20 Initial Budget Allocat FTE'!K$121</f>
        <v>0</v>
      </c>
      <c r="L104" s="115">
        <f>'[8]FY20 Initial Budget Allocat (2)'!L104/'FY20 Initial Budget Allocat FTE'!L$121</f>
        <v>1</v>
      </c>
      <c r="M104" s="115">
        <f>'[8]FY20 Initial Budget Allocat (2)'!M104/'FY20 Initial Budget Allocat FTE'!M$121</f>
        <v>1</v>
      </c>
      <c r="N104" s="115">
        <f>'[8]FY20 Initial Budget Allocat (2)'!N104/'FY20 Initial Budget Allocat FTE'!N$121</f>
        <v>0</v>
      </c>
      <c r="O104" s="115">
        <f>'[8]FY20 Initial Budget Allocat (2)'!O104/'FY20 Initial Budget Allocat FTE'!O$121</f>
        <v>0</v>
      </c>
      <c r="P104" s="115">
        <f>'[8]FY20 Initial Budget Allocat (2)'!P104/'FY20 Initial Budget Allocat FTE'!P$121</f>
        <v>0</v>
      </c>
      <c r="Q104" s="115">
        <f>'[8]FY20 Initial Budget Allocat (2)'!Q104/'FY20 Initial Budget Allocat FTE'!Q$121</f>
        <v>0</v>
      </c>
      <c r="R104" s="115">
        <f>'[8]FY20 Initial Budget Allocat (2)'!R104/'FY20 Initial Budget Allocat FTE'!R$121</f>
        <v>1</v>
      </c>
      <c r="S104" s="115">
        <f>'[8]FY20 Initial Budget Allocat (2)'!S104/'FY20 Initial Budget Allocat FTE'!S$121</f>
        <v>1</v>
      </c>
      <c r="T104" s="115">
        <f>'[8]FY20 Initial Budget Allocat (2)'!T104/'FY20 Initial Budget Allocat FTE'!T$121</f>
        <v>2</v>
      </c>
      <c r="U104" s="115">
        <f>'[8]FY20 Initial Budget Allocat (2)'!U104/'FY20 Initial Budget Allocat FTE'!U$121</f>
        <v>1</v>
      </c>
      <c r="V104" s="115">
        <f>'[8]FY20 Initial Budget Allocat (2)'!V104/'FY20 Initial Budget Allocat FTE'!V$121</f>
        <v>1</v>
      </c>
      <c r="W104" s="115">
        <f>'[8]FY20 Initial Budget Allocat (2)'!W104/'FY20 Initial Budget Allocat FTE'!W$121</f>
        <v>1</v>
      </c>
      <c r="X104" s="115">
        <f>'[8]FY20 Initial Budget Allocat (2)'!X104/'FY20 Initial Budget Allocat FTE'!X$121</f>
        <v>1</v>
      </c>
      <c r="Y104" s="115">
        <f>'[8]FY20 Initial Budget Allocat (2)'!Y104/'FY20 Initial Budget Allocat FTE'!Y$121</f>
        <v>0</v>
      </c>
      <c r="Z104" s="115">
        <f>'[8]FY20 Initial Budget Allocat (2)'!Z104/'FY20 Initial Budget Allocat FTE'!Z$121</f>
        <v>0</v>
      </c>
      <c r="AA104" s="115">
        <f>'[8]FY20 Initial Budget Allocat (2)'!AA104/'FY20 Initial Budget Allocat FTE'!AA$121</f>
        <v>2</v>
      </c>
      <c r="AB104" s="115">
        <f>'[8]FY20 Initial Budget Allocat (2)'!AB104/'FY20 Initial Budget Allocat FTE'!AB$121</f>
        <v>2</v>
      </c>
      <c r="AC104" s="115">
        <f>'[8]FY20 Initial Budget Allocat (2)'!AC104/'FY20 Initial Budget Allocat FTE'!AC$121</f>
        <v>2</v>
      </c>
      <c r="AD104" s="115">
        <f>'[8]FY20 Initial Budget Allocat (2)'!AD104/'FY20 Initial Budget Allocat FTE'!AD$121</f>
        <v>2</v>
      </c>
      <c r="AE104" s="115">
        <f>'[8]FY20 Initial Budget Allocat (2)'!AE104/'FY20 Initial Budget Allocat FTE'!AE$121</f>
        <v>1</v>
      </c>
      <c r="AF104" s="115">
        <f>'[8]FY20 Initial Budget Allocat (2)'!AF104/'FY20 Initial Budget Allocat FTE'!AF$121</f>
        <v>1</v>
      </c>
      <c r="AG104" s="115">
        <f>'[8]FY20 Initial Budget Allocat (2)'!AG104/'FY20 Initial Budget Allocat FTE'!AG$121</f>
        <v>2</v>
      </c>
      <c r="AH104" s="115">
        <f>'[8]FY20 Initial Budget Allocat (2)'!AH104/'FY20 Initial Budget Allocat FTE'!AH$121</f>
        <v>2</v>
      </c>
      <c r="AI104" s="115">
        <f>'[8]FY20 Initial Budget Allocat (2)'!AI104/'FY20 Initial Budget Allocat FTE'!AI$121</f>
        <v>2</v>
      </c>
      <c r="AJ104" s="115">
        <f>'[8]FY20 Initial Budget Allocat (2)'!AJ104/'FY20 Initial Budget Allocat FTE'!AJ$121</f>
        <v>2</v>
      </c>
      <c r="AK104" s="115">
        <f>'[8]FY20 Initial Budget Allocat (2)'!AK104/'FY20 Initial Budget Allocat FTE'!AK$121</f>
        <v>2</v>
      </c>
      <c r="AL104" s="115">
        <f>'[8]FY20 Initial Budget Allocat (2)'!AL104/'FY20 Initial Budget Allocat FTE'!AL$121</f>
        <v>2</v>
      </c>
      <c r="AM104" s="115">
        <f>'[8]FY20 Initial Budget Allocat (2)'!AM104/'FY20 Initial Budget Allocat FTE'!AM$121</f>
        <v>2</v>
      </c>
      <c r="AN104" s="115">
        <f>'[8]FY20 Initial Budget Allocat (2)'!AN104/'FY20 Initial Budget Allocat FTE'!AN$121</f>
        <v>0</v>
      </c>
      <c r="AO104" s="115">
        <f>'[8]FY20 Initial Budget Allocat (2)'!AO104/'FY20 Initial Budget Allocat FTE'!AO$121</f>
        <v>0</v>
      </c>
      <c r="AP104" s="115">
        <f>'[8]FY20 Initial Budget Allocat (2)'!AP104/'FY20 Initial Budget Allocat FTE'!AP$121</f>
        <v>0</v>
      </c>
      <c r="AQ104" s="115">
        <f>'[8]FY20 Initial Budget Allocat (2)'!AQ104/'FY20 Initial Budget Allocat FTE'!AQ$121</f>
        <v>0</v>
      </c>
      <c r="AR104" s="115">
        <f>'[8]FY20 Initial Budget Allocat (2)'!AR104/'FY20 Initial Budget Allocat FTE'!AR$121</f>
        <v>0</v>
      </c>
      <c r="AS104" s="115">
        <f>'[8]FY20 Initial Budget Allocat (2)'!AS104/'FY20 Initial Budget Allocat FTE'!AS$121</f>
        <v>0</v>
      </c>
      <c r="AT104" s="115">
        <f>'[8]FY20 Initial Budget Allocat (2)'!AT104/'FY20 Initial Budget Allocat FTE'!AT$121</f>
        <v>0</v>
      </c>
      <c r="AU104" s="115">
        <f>'[8]FY20 Initial Budget Allocat (2)'!AU104/'FY20 Initial Budget Allocat FTE'!AU$121</f>
        <v>0</v>
      </c>
      <c r="AV104" s="115">
        <f>'[8]FY20 Initial Budget Allocat (2)'!AV104/'FY20 Initial Budget Allocat FTE'!AV$121</f>
        <v>0</v>
      </c>
      <c r="AW104" s="115">
        <f>'[8]FY20 Initial Budget Allocat (2)'!AW104/'FY20 Initial Budget Allocat FTE'!AW$121</f>
        <v>0</v>
      </c>
      <c r="AX104" s="115">
        <f>'[8]FY20 Initial Budget Allocat (2)'!AX104/'FY20 Initial Budget Allocat FTE'!AX$121</f>
        <v>1</v>
      </c>
      <c r="AY104" s="115">
        <f>'[8]FY20 Initial Budget Allocat (2)'!AY104/'FY20 Initial Budget Allocat FTE'!AY$121</f>
        <v>1.5000000000000002</v>
      </c>
      <c r="AZ104" s="115">
        <f>'[8]FY20 Initial Budget Allocat (2)'!AZ104/'FY20 Initial Budget Allocat FTE'!AZ$121</f>
        <v>8</v>
      </c>
      <c r="BA104" s="115">
        <f>'[8]FY20 Initial Budget Allocat (2)'!BA104/'FY20 Initial Budget Allocat FTE'!BA$121</f>
        <v>5</v>
      </c>
      <c r="BB104" s="115">
        <f>'[8]FY20 Initial Budget Allocat (2)'!BB104/'FY20 Initial Budget Allocat FTE'!BB$121</f>
        <v>0</v>
      </c>
      <c r="BC104" s="115">
        <f>'[8]FY20 Initial Budget Allocat (2)'!BC104/'FY20 Initial Budget Allocat FTE'!BC$121</f>
        <v>0</v>
      </c>
      <c r="BD104" s="115">
        <f>'[8]FY20 Initial Budget Allocat (2)'!BD104/'FY20 Initial Budget Allocat FTE'!BD$121</f>
        <v>0.45454545454545453</v>
      </c>
      <c r="BE104" s="115">
        <f>'[8]FY20 Initial Budget Allocat (2)'!BE104/'FY20 Initial Budget Allocat FTE'!BE$121</f>
        <v>0</v>
      </c>
      <c r="BF104" s="115">
        <f>'[8]FY20 Initial Budget Allocat (2)'!BF104/'FY20 Initial Budget Allocat FTE'!BF$121</f>
        <v>0</v>
      </c>
      <c r="BG104" s="115">
        <f>'[8]FY20 Initial Budget Allocat (2)'!BG104/'FY20 Initial Budget Allocat FTE'!BG$121</f>
        <v>1.1252589375208819</v>
      </c>
      <c r="BH104" s="115">
        <f>'[8]FY20 Initial Budget Allocat (2)'!BH104/'FY20 Initial Budget Allocat FTE'!BH$121</f>
        <v>5</v>
      </c>
      <c r="BI104" s="115">
        <f>'[8]FY20 Initial Budget Allocat (2)'!BI104/'FY20 Initial Budget Allocat FTE'!BI$121</f>
        <v>1</v>
      </c>
      <c r="BJ104" s="79"/>
      <c r="BK104" s="79">
        <v>0</v>
      </c>
      <c r="BL104" s="79">
        <v>23194.2</v>
      </c>
      <c r="BM104" s="79">
        <v>182549.43</v>
      </c>
      <c r="BN104" s="79">
        <v>2904.83</v>
      </c>
      <c r="BO104" s="79">
        <v>0</v>
      </c>
      <c r="BP104" s="115">
        <f>'[8]FY20 Initial Budget Allocat (2)'!BP104/'FY20 Initial Budget Allocat FTE'!BP$121</f>
        <v>0</v>
      </c>
      <c r="BQ104" s="115">
        <f>'[8]FY20 Initial Budget Allocat (2)'!BQ104/'FY20 Initial Budget Allocat FTE'!BQ$121</f>
        <v>0</v>
      </c>
      <c r="BR104" s="115">
        <f>'[8]FY20 Initial Budget Allocat (2)'!BR104/'FY20 Initial Budget Allocat FTE'!BR$121</f>
        <v>0</v>
      </c>
      <c r="BS104" s="115">
        <f>'[8]FY20 Initial Budget Allocat (2)'!BS104/'FY20 Initial Budget Allocat FTE'!BS$121</f>
        <v>0</v>
      </c>
      <c r="BT104" s="115">
        <f>'[8]FY20 Initial Budget Allocat (2)'!BT104/'FY20 Initial Budget Allocat FTE'!BT$121</f>
        <v>1</v>
      </c>
      <c r="BU104" s="115">
        <f>'[8]FY20 Initial Budget Allocat (2)'!BU104/'FY20 Initial Budget Allocat FTE'!BU$121</f>
        <v>0</v>
      </c>
      <c r="BV104" s="115">
        <f>'[8]FY20 Initial Budget Allocat (2)'!BV104/'FY20 Initial Budget Allocat FTE'!BV$121</f>
        <v>0</v>
      </c>
      <c r="BW104" s="80">
        <v>0</v>
      </c>
      <c r="BX104" s="80">
        <v>0</v>
      </c>
      <c r="BY104" s="80">
        <v>0</v>
      </c>
      <c r="BZ104" s="80">
        <v>0</v>
      </c>
      <c r="CA104" s="115">
        <f>'[8]FY20 Initial Budget Allocat (2)'!CA104/'FY20 Initial Budget Allocat FTE'!CA$121</f>
        <v>0</v>
      </c>
      <c r="CB104" s="115">
        <f>'[8]FY20 Initial Budget Allocat (2)'!CB104/'FY20 Initial Budget Allocat FTE'!CB$121</f>
        <v>0</v>
      </c>
      <c r="CC104" s="80">
        <v>0</v>
      </c>
      <c r="CD104" s="115">
        <f>'[8]FY20 Initial Budget Allocat (2)'!CD104/'FY20 Initial Budget Allocat FTE'!CD$121</f>
        <v>0</v>
      </c>
      <c r="CE104" s="115">
        <f>'[8]FY20 Initial Budget Allocat (2)'!CE104/'FY20 Initial Budget Allocat FTE'!CE$121</f>
        <v>0</v>
      </c>
      <c r="CF104" s="115">
        <f>'[8]FY20 Initial Budget Allocat (2)'!CF104/'FY20 Initial Budget Allocat FTE'!CF$121</f>
        <v>0</v>
      </c>
      <c r="CG104" s="115">
        <f>'[8]FY20 Initial Budget Allocat (2)'!CG104/'FY20 Initial Budget Allocat FTE'!CG$121</f>
        <v>0</v>
      </c>
      <c r="CH104" s="115">
        <f>'[8]FY20 Initial Budget Allocat (2)'!CH104/'FY20 Initial Budget Allocat FTE'!CH$121</f>
        <v>0</v>
      </c>
      <c r="CI104" s="115">
        <f>'[8]FY20 Initial Budget Allocat (2)'!CI104/'FY20 Initial Budget Allocat FTE'!CI$121</f>
        <v>0</v>
      </c>
      <c r="CJ104" s="115">
        <f>'[8]FY20 Initial Budget Allocat (2)'!CJ104/'FY20 Initial Budget Allocat FTE'!CJ$121</f>
        <v>0</v>
      </c>
      <c r="CK104" s="79">
        <v>0</v>
      </c>
      <c r="CL104" s="79">
        <v>0</v>
      </c>
      <c r="CM104" s="79">
        <v>57070.8</v>
      </c>
      <c r="CN104" s="79">
        <v>0</v>
      </c>
      <c r="CO104" s="115">
        <f>'[8]FY20 Initial Budget Allocat (2)'!CO104/'FY20 Initial Budget Allocat FTE'!CO$121</f>
        <v>0</v>
      </c>
      <c r="CP104" s="79">
        <v>75000</v>
      </c>
      <c r="CQ104" s="79">
        <v>11240</v>
      </c>
      <c r="CR104" s="79">
        <v>0</v>
      </c>
      <c r="CS104" s="79">
        <v>19048.145569620254</v>
      </c>
      <c r="CT104" s="115">
        <f>'[8]FY20 Initial Budget Allocat (2)'!CT104/'FY20 Initial Budget Allocat FTE'!CT$121</f>
        <v>0</v>
      </c>
      <c r="CU104" s="115">
        <f>'[8]FY20 Initial Budget Allocat (2)'!CU104/'FY20 Initial Budget Allocat FTE'!CU$121</f>
        <v>0</v>
      </c>
      <c r="CV104" s="79"/>
      <c r="CW104" s="79">
        <v>0</v>
      </c>
      <c r="CX104" s="115">
        <f>'[8]FY20 Initial Budget Allocat (2)'!CX104/'FY20 Initial Budget Allocat FTE'!CX$121</f>
        <v>0</v>
      </c>
      <c r="CY104" s="79">
        <v>0</v>
      </c>
      <c r="CZ104" s="79">
        <v>0</v>
      </c>
      <c r="DA104" s="79">
        <v>32700</v>
      </c>
      <c r="DB104" s="79">
        <v>74976.989686269211</v>
      </c>
      <c r="DC104" s="82">
        <v>0</v>
      </c>
      <c r="DD104" s="79">
        <v>15363.214285714286</v>
      </c>
      <c r="DE104" s="79"/>
      <c r="DF104" s="79">
        <v>24600</v>
      </c>
      <c r="DG104" s="79">
        <v>0</v>
      </c>
      <c r="DH104" s="83"/>
      <c r="DI104" s="79">
        <v>16288.218858942761</v>
      </c>
      <c r="DJ104" s="79">
        <v>5326247.5668742824</v>
      </c>
      <c r="DK104" s="84">
        <v>105286.43312571757</v>
      </c>
      <c r="DL104" s="84">
        <v>193053.25</v>
      </c>
      <c r="DM104" s="84">
        <f t="shared" si="6"/>
        <v>5624587.25</v>
      </c>
      <c r="DN104" s="116">
        <f t="shared" si="7"/>
        <v>7</v>
      </c>
      <c r="DO104" s="116">
        <f t="shared" si="8"/>
        <v>7</v>
      </c>
      <c r="DP104" s="116">
        <f t="shared" si="9"/>
        <v>10</v>
      </c>
      <c r="DQ104" s="116">
        <f t="shared" si="10"/>
        <v>10.954545454545455</v>
      </c>
      <c r="DR104" s="116">
        <f t="shared" si="11"/>
        <v>5</v>
      </c>
    </row>
    <row r="105" spans="1:122" x14ac:dyDescent="0.25">
      <c r="A105" s="76">
        <v>326</v>
      </c>
      <c r="B105" s="76" t="s">
        <v>246</v>
      </c>
      <c r="C105" s="77" t="s">
        <v>135</v>
      </c>
      <c r="D105" s="41">
        <v>2</v>
      </c>
      <c r="E105" s="78">
        <v>336</v>
      </c>
      <c r="F105" s="78">
        <v>149.89473684210529</v>
      </c>
      <c r="G105" s="115">
        <f>'[8]FY20 Initial Budget Allocat (2)'!G105/'FY20 Initial Budget Allocat FTE'!G$121</f>
        <v>1</v>
      </c>
      <c r="H105" s="115">
        <f>'[8]FY20 Initial Budget Allocat (2)'!H105/'FY20 Initial Budget Allocat FTE'!H$121</f>
        <v>1</v>
      </c>
      <c r="I105" s="115">
        <f>'[8]FY20 Initial Budget Allocat (2)'!I105/'FY20 Initial Budget Allocat FTE'!I$121</f>
        <v>0.8</v>
      </c>
      <c r="J105" s="115">
        <f>'[8]FY20 Initial Budget Allocat (2)'!J105/'FY20 Initial Budget Allocat FTE'!J$121</f>
        <v>0</v>
      </c>
      <c r="K105" s="115">
        <f>'[8]FY20 Initial Budget Allocat (2)'!K105/'FY20 Initial Budget Allocat FTE'!K$121</f>
        <v>0</v>
      </c>
      <c r="L105" s="115">
        <f>'[8]FY20 Initial Budget Allocat (2)'!L105/'FY20 Initial Budget Allocat FTE'!L$121</f>
        <v>1</v>
      </c>
      <c r="M105" s="115">
        <f>'[8]FY20 Initial Budget Allocat (2)'!M105/'FY20 Initial Budget Allocat FTE'!M$121</f>
        <v>1</v>
      </c>
      <c r="N105" s="115">
        <f>'[8]FY20 Initial Budget Allocat (2)'!N105/'FY20 Initial Budget Allocat FTE'!N$121</f>
        <v>0</v>
      </c>
      <c r="O105" s="115">
        <f>'[8]FY20 Initial Budget Allocat (2)'!O105/'FY20 Initial Budget Allocat FTE'!O$121</f>
        <v>0</v>
      </c>
      <c r="P105" s="115">
        <f>'[8]FY20 Initial Budget Allocat (2)'!P105/'FY20 Initial Budget Allocat FTE'!P$121</f>
        <v>0</v>
      </c>
      <c r="Q105" s="115">
        <f>'[8]FY20 Initial Budget Allocat (2)'!Q105/'FY20 Initial Budget Allocat FTE'!Q$121</f>
        <v>0</v>
      </c>
      <c r="R105" s="115">
        <f>'[8]FY20 Initial Budget Allocat (2)'!R105/'FY20 Initial Budget Allocat FTE'!R$121</f>
        <v>1</v>
      </c>
      <c r="S105" s="115">
        <f>'[8]FY20 Initial Budget Allocat (2)'!S105/'FY20 Initial Budget Allocat FTE'!S$121</f>
        <v>1</v>
      </c>
      <c r="T105" s="115">
        <f>'[8]FY20 Initial Budget Allocat (2)'!T105/'FY20 Initial Budget Allocat FTE'!T$121</f>
        <v>2</v>
      </c>
      <c r="U105" s="115">
        <f>'[8]FY20 Initial Budget Allocat (2)'!U105/'FY20 Initial Budget Allocat FTE'!U$121</f>
        <v>1</v>
      </c>
      <c r="V105" s="115">
        <f>'[8]FY20 Initial Budget Allocat (2)'!V105/'FY20 Initial Budget Allocat FTE'!V$121</f>
        <v>1</v>
      </c>
      <c r="W105" s="115">
        <f>'[8]FY20 Initial Budget Allocat (2)'!W105/'FY20 Initial Budget Allocat FTE'!W$121</f>
        <v>1</v>
      </c>
      <c r="X105" s="115">
        <f>'[8]FY20 Initial Budget Allocat (2)'!X105/'FY20 Initial Budget Allocat FTE'!X$121</f>
        <v>1</v>
      </c>
      <c r="Y105" s="115">
        <f>'[8]FY20 Initial Budget Allocat (2)'!Y105/'FY20 Initial Budget Allocat FTE'!Y$121</f>
        <v>0</v>
      </c>
      <c r="Z105" s="115">
        <f>'[8]FY20 Initial Budget Allocat (2)'!Z105/'FY20 Initial Budget Allocat FTE'!Z$121</f>
        <v>0</v>
      </c>
      <c r="AA105" s="115">
        <f>'[8]FY20 Initial Budget Allocat (2)'!AA105/'FY20 Initial Budget Allocat FTE'!AA$121</f>
        <v>0</v>
      </c>
      <c r="AB105" s="115">
        <f>'[8]FY20 Initial Budget Allocat (2)'!AB105/'FY20 Initial Budget Allocat FTE'!AB$121</f>
        <v>0</v>
      </c>
      <c r="AC105" s="115">
        <f>'[8]FY20 Initial Budget Allocat (2)'!AC105/'FY20 Initial Budget Allocat FTE'!AC$121</f>
        <v>5</v>
      </c>
      <c r="AD105" s="115">
        <f>'[8]FY20 Initial Budget Allocat (2)'!AD105/'FY20 Initial Budget Allocat FTE'!AD$121</f>
        <v>5</v>
      </c>
      <c r="AE105" s="115">
        <f>'[8]FY20 Initial Budget Allocat (2)'!AE105/'FY20 Initial Budget Allocat FTE'!AE$121</f>
        <v>0</v>
      </c>
      <c r="AF105" s="115">
        <f>'[8]FY20 Initial Budget Allocat (2)'!AF105/'FY20 Initial Budget Allocat FTE'!AF$121</f>
        <v>0</v>
      </c>
      <c r="AG105" s="115">
        <f>'[8]FY20 Initial Budget Allocat (2)'!AG105/'FY20 Initial Budget Allocat FTE'!AG$121</f>
        <v>2</v>
      </c>
      <c r="AH105" s="115">
        <f>'[8]FY20 Initial Budget Allocat (2)'!AH105/'FY20 Initial Budget Allocat FTE'!AH$121</f>
        <v>2</v>
      </c>
      <c r="AI105" s="115">
        <f>'[8]FY20 Initial Budget Allocat (2)'!AI105/'FY20 Initial Budget Allocat FTE'!AI$121</f>
        <v>2</v>
      </c>
      <c r="AJ105" s="115">
        <f>'[8]FY20 Initial Budget Allocat (2)'!AJ105/'FY20 Initial Budget Allocat FTE'!AJ$121</f>
        <v>2</v>
      </c>
      <c r="AK105" s="115">
        <f>'[8]FY20 Initial Budget Allocat (2)'!AK105/'FY20 Initial Budget Allocat FTE'!AK$121</f>
        <v>2</v>
      </c>
      <c r="AL105" s="115">
        <f>'[8]FY20 Initial Budget Allocat (2)'!AL105/'FY20 Initial Budget Allocat FTE'!AL$121</f>
        <v>2</v>
      </c>
      <c r="AM105" s="115">
        <f>'[8]FY20 Initial Budget Allocat (2)'!AM105/'FY20 Initial Budget Allocat FTE'!AM$121</f>
        <v>2</v>
      </c>
      <c r="AN105" s="115">
        <f>'[8]FY20 Initial Budget Allocat (2)'!AN105/'FY20 Initial Budget Allocat FTE'!AN$121</f>
        <v>0</v>
      </c>
      <c r="AO105" s="115">
        <f>'[8]FY20 Initial Budget Allocat (2)'!AO105/'FY20 Initial Budget Allocat FTE'!AO$121</f>
        <v>0</v>
      </c>
      <c r="AP105" s="115">
        <f>'[8]FY20 Initial Budget Allocat (2)'!AP105/'FY20 Initial Budget Allocat FTE'!AP$121</f>
        <v>0</v>
      </c>
      <c r="AQ105" s="115">
        <f>'[8]FY20 Initial Budget Allocat (2)'!AQ105/'FY20 Initial Budget Allocat FTE'!AQ$121</f>
        <v>0</v>
      </c>
      <c r="AR105" s="115">
        <f>'[8]FY20 Initial Budget Allocat (2)'!AR105/'FY20 Initial Budget Allocat FTE'!AR$121</f>
        <v>0</v>
      </c>
      <c r="AS105" s="115">
        <f>'[8]FY20 Initial Budget Allocat (2)'!AS105/'FY20 Initial Budget Allocat FTE'!AS$121</f>
        <v>0</v>
      </c>
      <c r="AT105" s="115">
        <f>'[8]FY20 Initial Budget Allocat (2)'!AT105/'FY20 Initial Budget Allocat FTE'!AT$121</f>
        <v>0</v>
      </c>
      <c r="AU105" s="115">
        <f>'[8]FY20 Initial Budget Allocat (2)'!AU105/'FY20 Initial Budget Allocat FTE'!AU$121</f>
        <v>0</v>
      </c>
      <c r="AV105" s="115">
        <f>'[8]FY20 Initial Budget Allocat (2)'!AV105/'FY20 Initial Budget Allocat FTE'!AV$121</f>
        <v>0</v>
      </c>
      <c r="AW105" s="115">
        <f>'[8]FY20 Initial Budget Allocat (2)'!AW105/'FY20 Initial Budget Allocat FTE'!AW$121</f>
        <v>0</v>
      </c>
      <c r="AX105" s="115">
        <f>'[8]FY20 Initial Budget Allocat (2)'!AX105/'FY20 Initial Budget Allocat FTE'!AX$121</f>
        <v>0.5</v>
      </c>
      <c r="AY105" s="115">
        <f>'[8]FY20 Initial Budget Allocat (2)'!AY105/'FY20 Initial Budget Allocat FTE'!AY$121</f>
        <v>1</v>
      </c>
      <c r="AZ105" s="115">
        <f>'[8]FY20 Initial Budget Allocat (2)'!AZ105/'FY20 Initial Budget Allocat FTE'!AZ$121</f>
        <v>3.0000000000000004</v>
      </c>
      <c r="BA105" s="115">
        <f>'[8]FY20 Initial Budget Allocat (2)'!BA105/'FY20 Initial Budget Allocat FTE'!BA$121</f>
        <v>0</v>
      </c>
      <c r="BB105" s="115">
        <f>'[8]FY20 Initial Budget Allocat (2)'!BB105/'FY20 Initial Budget Allocat FTE'!BB$121</f>
        <v>0</v>
      </c>
      <c r="BC105" s="115">
        <f>'[8]FY20 Initial Budget Allocat (2)'!BC105/'FY20 Initial Budget Allocat FTE'!BC$121</f>
        <v>0</v>
      </c>
      <c r="BD105" s="115">
        <f>'[8]FY20 Initial Budget Allocat (2)'!BD105/'FY20 Initial Budget Allocat FTE'!BD$121</f>
        <v>7</v>
      </c>
      <c r="BE105" s="115">
        <f>'[8]FY20 Initial Budget Allocat (2)'!BE105/'FY20 Initial Budget Allocat FTE'!BE$121</f>
        <v>0</v>
      </c>
      <c r="BF105" s="115">
        <f>'[8]FY20 Initial Budget Allocat (2)'!BF105/'FY20 Initial Budget Allocat FTE'!BF$121</f>
        <v>1</v>
      </c>
      <c r="BG105" s="115">
        <f>'[8]FY20 Initial Budget Allocat (2)'!BG105/'FY20 Initial Budget Allocat FTE'!BG$121</f>
        <v>2.0628967591045773</v>
      </c>
      <c r="BH105" s="115">
        <f>'[8]FY20 Initial Budget Allocat (2)'!BH105/'FY20 Initial Budget Allocat FTE'!BH$121</f>
        <v>8</v>
      </c>
      <c r="BI105" s="115">
        <f>'[8]FY20 Initial Budget Allocat (2)'!BI105/'FY20 Initial Budget Allocat FTE'!BI$121</f>
        <v>1</v>
      </c>
      <c r="BJ105" s="79"/>
      <c r="BK105" s="79">
        <v>0</v>
      </c>
      <c r="BL105" s="79">
        <v>35539.5</v>
      </c>
      <c r="BM105" s="79">
        <v>146419.85</v>
      </c>
      <c r="BN105" s="79">
        <v>2329.92</v>
      </c>
      <c r="BO105" s="79">
        <v>0</v>
      </c>
      <c r="BP105" s="115">
        <f>'[8]FY20 Initial Budget Allocat (2)'!BP105/'FY20 Initial Budget Allocat FTE'!BP$121</f>
        <v>1</v>
      </c>
      <c r="BQ105" s="115">
        <f>'[8]FY20 Initial Budget Allocat (2)'!BQ105/'FY20 Initial Budget Allocat FTE'!BQ$121</f>
        <v>0</v>
      </c>
      <c r="BR105" s="115">
        <f>'[8]FY20 Initial Budget Allocat (2)'!BR105/'FY20 Initial Budget Allocat FTE'!BR$121</f>
        <v>0</v>
      </c>
      <c r="BS105" s="115">
        <f>'[8]FY20 Initial Budget Allocat (2)'!BS105/'FY20 Initial Budget Allocat FTE'!BS$121</f>
        <v>0</v>
      </c>
      <c r="BT105" s="115">
        <f>'[8]FY20 Initial Budget Allocat (2)'!BT105/'FY20 Initial Budget Allocat FTE'!BT$121</f>
        <v>0</v>
      </c>
      <c r="BU105" s="115">
        <f>'[8]FY20 Initial Budget Allocat (2)'!BU105/'FY20 Initial Budget Allocat FTE'!BU$121</f>
        <v>0</v>
      </c>
      <c r="BV105" s="115">
        <f>'[8]FY20 Initial Budget Allocat (2)'!BV105/'FY20 Initial Budget Allocat FTE'!BV$121</f>
        <v>0</v>
      </c>
      <c r="BW105" s="80">
        <v>0</v>
      </c>
      <c r="BX105" s="80">
        <v>0</v>
      </c>
      <c r="BY105" s="80">
        <v>0</v>
      </c>
      <c r="BZ105" s="80">
        <v>0</v>
      </c>
      <c r="CA105" s="115">
        <f>'[8]FY20 Initial Budget Allocat (2)'!CA105/'FY20 Initial Budget Allocat FTE'!CA$121</f>
        <v>0</v>
      </c>
      <c r="CB105" s="115">
        <f>'[8]FY20 Initial Budget Allocat (2)'!CB105/'FY20 Initial Budget Allocat FTE'!CB$121</f>
        <v>0</v>
      </c>
      <c r="CC105" s="80">
        <v>0</v>
      </c>
      <c r="CD105" s="115">
        <f>'[8]FY20 Initial Budget Allocat (2)'!CD105/'FY20 Initial Budget Allocat FTE'!CD$121</f>
        <v>0</v>
      </c>
      <c r="CE105" s="115">
        <f>'[8]FY20 Initial Budget Allocat (2)'!CE105/'FY20 Initial Budget Allocat FTE'!CE$121</f>
        <v>0</v>
      </c>
      <c r="CF105" s="115">
        <f>'[8]FY20 Initial Budget Allocat (2)'!CF105/'FY20 Initial Budget Allocat FTE'!CF$121</f>
        <v>0</v>
      </c>
      <c r="CG105" s="115">
        <f>'[8]FY20 Initial Budget Allocat (2)'!CG105/'FY20 Initial Budget Allocat FTE'!CG$121</f>
        <v>0</v>
      </c>
      <c r="CH105" s="115">
        <f>'[8]FY20 Initial Budget Allocat (2)'!CH105/'FY20 Initial Budget Allocat FTE'!CH$121</f>
        <v>0</v>
      </c>
      <c r="CI105" s="115">
        <f>'[8]FY20 Initial Budget Allocat (2)'!CI105/'FY20 Initial Budget Allocat FTE'!CI$121</f>
        <v>0</v>
      </c>
      <c r="CJ105" s="115">
        <f>'[8]FY20 Initial Budget Allocat (2)'!CJ105/'FY20 Initial Budget Allocat FTE'!CJ$121</f>
        <v>0</v>
      </c>
      <c r="CK105" s="79">
        <v>0</v>
      </c>
      <c r="CL105" s="79">
        <v>0</v>
      </c>
      <c r="CM105" s="79">
        <v>54082.8</v>
      </c>
      <c r="CN105" s="79">
        <v>0</v>
      </c>
      <c r="CO105" s="115">
        <f>'[8]FY20 Initial Budget Allocat (2)'!CO105/'FY20 Initial Budget Allocat FTE'!CO$121</f>
        <v>0</v>
      </c>
      <c r="CP105" s="79">
        <v>0</v>
      </c>
      <c r="CQ105" s="79">
        <v>2997.8947368421059</v>
      </c>
      <c r="CR105" s="79">
        <v>50400</v>
      </c>
      <c r="CS105" s="79">
        <v>18549.875</v>
      </c>
      <c r="CT105" s="115">
        <f>'[8]FY20 Initial Budget Allocat (2)'!CT105/'FY20 Initial Budget Allocat FTE'!CT$121</f>
        <v>0</v>
      </c>
      <c r="CU105" s="115">
        <f>'[8]FY20 Initial Budget Allocat (2)'!CU105/'FY20 Initial Budget Allocat FTE'!CU$121</f>
        <v>0</v>
      </c>
      <c r="CV105" s="79"/>
      <c r="CW105" s="79">
        <v>0</v>
      </c>
      <c r="CX105" s="115">
        <f>'[8]FY20 Initial Budget Allocat (2)'!CX105/'FY20 Initial Budget Allocat FTE'!CX$121</f>
        <v>0</v>
      </c>
      <c r="CY105" s="79">
        <v>0</v>
      </c>
      <c r="CZ105" s="79">
        <v>0</v>
      </c>
      <c r="DA105" s="79">
        <v>33600</v>
      </c>
      <c r="DB105" s="79">
        <v>77427.732043680488</v>
      </c>
      <c r="DC105" s="82">
        <v>0</v>
      </c>
      <c r="DD105" s="79">
        <v>14056</v>
      </c>
      <c r="DE105" s="79"/>
      <c r="DF105" s="79">
        <v>15600</v>
      </c>
      <c r="DG105" s="79">
        <v>0</v>
      </c>
      <c r="DH105" s="83">
        <v>0</v>
      </c>
      <c r="DI105" s="79">
        <v>15695.708259269986</v>
      </c>
      <c r="DJ105" s="79">
        <v>5273757.9751147153</v>
      </c>
      <c r="DK105" s="84">
        <v>4.8852851614356041E-3</v>
      </c>
      <c r="DL105" s="84">
        <v>0</v>
      </c>
      <c r="DM105" s="84">
        <f t="shared" si="6"/>
        <v>5273757.9800000004</v>
      </c>
      <c r="DN105" s="116">
        <f t="shared" si="7"/>
        <v>7</v>
      </c>
      <c r="DO105" s="116">
        <f t="shared" si="8"/>
        <v>7</v>
      </c>
      <c r="DP105" s="116">
        <f t="shared" si="9"/>
        <v>10</v>
      </c>
      <c r="DQ105" s="116">
        <f t="shared" si="10"/>
        <v>12.5</v>
      </c>
      <c r="DR105" s="116">
        <f t="shared" si="11"/>
        <v>0</v>
      </c>
    </row>
    <row r="106" spans="1:122" x14ac:dyDescent="0.25">
      <c r="A106" s="76">
        <v>327</v>
      </c>
      <c r="B106" s="76" t="s">
        <v>374</v>
      </c>
      <c r="C106" s="77" t="s">
        <v>150</v>
      </c>
      <c r="D106" s="41">
        <v>4</v>
      </c>
      <c r="E106" s="78">
        <v>568</v>
      </c>
      <c r="F106" s="78">
        <v>370.09681881051176</v>
      </c>
      <c r="G106" s="115">
        <f>'[8]FY20 Initial Budget Allocat (2)'!G106/'FY20 Initial Budget Allocat FTE'!G$121</f>
        <v>1</v>
      </c>
      <c r="H106" s="115">
        <f>'[8]FY20 Initial Budget Allocat (2)'!H106/'FY20 Initial Budget Allocat FTE'!H$121</f>
        <v>1</v>
      </c>
      <c r="I106" s="115">
        <f>'[8]FY20 Initial Budget Allocat (2)'!I106/'FY20 Initial Budget Allocat FTE'!I$121</f>
        <v>1.5</v>
      </c>
      <c r="J106" s="115">
        <f>'[8]FY20 Initial Budget Allocat (2)'!J106/'FY20 Initial Budget Allocat FTE'!J$121</f>
        <v>1</v>
      </c>
      <c r="K106" s="115">
        <f>'[8]FY20 Initial Budget Allocat (2)'!K106/'FY20 Initial Budget Allocat FTE'!K$121</f>
        <v>0</v>
      </c>
      <c r="L106" s="115">
        <f>'[8]FY20 Initial Budget Allocat (2)'!L106/'FY20 Initial Budget Allocat FTE'!L$121</f>
        <v>1</v>
      </c>
      <c r="M106" s="115">
        <f>'[8]FY20 Initial Budget Allocat (2)'!M106/'FY20 Initial Budget Allocat FTE'!M$121</f>
        <v>1</v>
      </c>
      <c r="N106" s="115">
        <f>'[8]FY20 Initial Budget Allocat (2)'!N106/'FY20 Initial Budget Allocat FTE'!N$121</f>
        <v>1.4</v>
      </c>
      <c r="O106" s="115">
        <f>'[8]FY20 Initial Budget Allocat (2)'!O106/'FY20 Initial Budget Allocat FTE'!O$121</f>
        <v>0</v>
      </c>
      <c r="P106" s="115">
        <f>'[8]FY20 Initial Budget Allocat (2)'!P106/'FY20 Initial Budget Allocat FTE'!P$121</f>
        <v>0</v>
      </c>
      <c r="Q106" s="115">
        <f>'[8]FY20 Initial Budget Allocat (2)'!Q106/'FY20 Initial Budget Allocat FTE'!Q$121</f>
        <v>0</v>
      </c>
      <c r="R106" s="115">
        <f>'[8]FY20 Initial Budget Allocat (2)'!R106/'FY20 Initial Budget Allocat FTE'!R$121</f>
        <v>1</v>
      </c>
      <c r="S106" s="115">
        <f>'[8]FY20 Initial Budget Allocat (2)'!S106/'FY20 Initial Budget Allocat FTE'!S$121</f>
        <v>1</v>
      </c>
      <c r="T106" s="115">
        <f>'[8]FY20 Initial Budget Allocat (2)'!T106/'FY20 Initial Budget Allocat FTE'!T$121</f>
        <v>3</v>
      </c>
      <c r="U106" s="115">
        <f>'[8]FY20 Initial Budget Allocat (2)'!U106/'FY20 Initial Budget Allocat FTE'!U$121</f>
        <v>1</v>
      </c>
      <c r="V106" s="115">
        <f>'[8]FY20 Initial Budget Allocat (2)'!V106/'FY20 Initial Budget Allocat FTE'!V$121</f>
        <v>1</v>
      </c>
      <c r="W106" s="115">
        <f>'[8]FY20 Initial Budget Allocat (2)'!W106/'FY20 Initial Budget Allocat FTE'!W$121</f>
        <v>1</v>
      </c>
      <c r="X106" s="115">
        <f>'[8]FY20 Initial Budget Allocat (2)'!X106/'FY20 Initial Budget Allocat FTE'!X$121</f>
        <v>1</v>
      </c>
      <c r="Y106" s="115">
        <f>'[8]FY20 Initial Budget Allocat (2)'!Y106/'FY20 Initial Budget Allocat FTE'!Y$121</f>
        <v>1.5000000000000002</v>
      </c>
      <c r="Z106" s="115">
        <f>'[8]FY20 Initial Budget Allocat (2)'!Z106/'FY20 Initial Budget Allocat FTE'!Z$121</f>
        <v>0</v>
      </c>
      <c r="AA106" s="115">
        <f>'[8]FY20 Initial Budget Allocat (2)'!AA106/'FY20 Initial Budget Allocat FTE'!AA$121</f>
        <v>3.0000000000000004</v>
      </c>
      <c r="AB106" s="115">
        <f>'[8]FY20 Initial Budget Allocat (2)'!AB106/'FY20 Initial Budget Allocat FTE'!AB$121</f>
        <v>3</v>
      </c>
      <c r="AC106" s="115">
        <f>'[8]FY20 Initial Budget Allocat (2)'!AC106/'FY20 Initial Budget Allocat FTE'!AC$121</f>
        <v>1</v>
      </c>
      <c r="AD106" s="115">
        <f>'[8]FY20 Initial Budget Allocat (2)'!AD106/'FY20 Initial Budget Allocat FTE'!AD$121</f>
        <v>1</v>
      </c>
      <c r="AE106" s="115">
        <f>'[8]FY20 Initial Budget Allocat (2)'!AE106/'FY20 Initial Budget Allocat FTE'!AE$121</f>
        <v>3.0000000000000004</v>
      </c>
      <c r="AF106" s="115">
        <f>'[8]FY20 Initial Budget Allocat (2)'!AF106/'FY20 Initial Budget Allocat FTE'!AF$121</f>
        <v>3</v>
      </c>
      <c r="AG106" s="115">
        <f>'[8]FY20 Initial Budget Allocat (2)'!AG106/'FY20 Initial Budget Allocat FTE'!AG$121</f>
        <v>3.0000000000000004</v>
      </c>
      <c r="AH106" s="115">
        <f>'[8]FY20 Initial Budget Allocat (2)'!AH106/'FY20 Initial Budget Allocat FTE'!AH$121</f>
        <v>3</v>
      </c>
      <c r="AI106" s="115">
        <f>'[8]FY20 Initial Budget Allocat (2)'!AI106/'FY20 Initial Budget Allocat FTE'!AI$121</f>
        <v>3.0000000000000004</v>
      </c>
      <c r="AJ106" s="115">
        <f>'[8]FY20 Initial Budget Allocat (2)'!AJ106/'FY20 Initial Budget Allocat FTE'!AJ$121</f>
        <v>3.0000000000000004</v>
      </c>
      <c r="AK106" s="115">
        <f>'[8]FY20 Initial Budget Allocat (2)'!AK106/'FY20 Initial Budget Allocat FTE'!AK$121</f>
        <v>3.0000000000000004</v>
      </c>
      <c r="AL106" s="115">
        <f>'[8]FY20 Initial Budget Allocat (2)'!AL106/'FY20 Initial Budget Allocat FTE'!AL$121</f>
        <v>3.0000000000000004</v>
      </c>
      <c r="AM106" s="115">
        <f>'[8]FY20 Initial Budget Allocat (2)'!AM106/'FY20 Initial Budget Allocat FTE'!AM$121</f>
        <v>4</v>
      </c>
      <c r="AN106" s="115">
        <f>'[8]FY20 Initial Budget Allocat (2)'!AN106/'FY20 Initial Budget Allocat FTE'!AN$121</f>
        <v>0</v>
      </c>
      <c r="AO106" s="115">
        <f>'[8]FY20 Initial Budget Allocat (2)'!AO106/'FY20 Initial Budget Allocat FTE'!AO$121</f>
        <v>0</v>
      </c>
      <c r="AP106" s="115">
        <f>'[8]FY20 Initial Budget Allocat (2)'!AP106/'FY20 Initial Budget Allocat FTE'!AP$121</f>
        <v>3.1000000000000005</v>
      </c>
      <c r="AQ106" s="115">
        <f>'[8]FY20 Initial Budget Allocat (2)'!AQ106/'FY20 Initial Budget Allocat FTE'!AQ$121</f>
        <v>0</v>
      </c>
      <c r="AR106" s="115">
        <f>'[8]FY20 Initial Budget Allocat (2)'!AR106/'FY20 Initial Budget Allocat FTE'!AR$121</f>
        <v>0</v>
      </c>
      <c r="AS106" s="115">
        <f>'[8]FY20 Initial Budget Allocat (2)'!AS106/'FY20 Initial Budget Allocat FTE'!AS$121</f>
        <v>0</v>
      </c>
      <c r="AT106" s="115">
        <f>'[8]FY20 Initial Budget Allocat (2)'!AT106/'FY20 Initial Budget Allocat FTE'!AT$121</f>
        <v>0</v>
      </c>
      <c r="AU106" s="115">
        <f>'[8]FY20 Initial Budget Allocat (2)'!AU106/'FY20 Initial Budget Allocat FTE'!AU$121</f>
        <v>0</v>
      </c>
      <c r="AV106" s="115">
        <f>'[8]FY20 Initial Budget Allocat (2)'!AV106/'FY20 Initial Budget Allocat FTE'!AV$121</f>
        <v>0</v>
      </c>
      <c r="AW106" s="115">
        <f>'[8]FY20 Initial Budget Allocat (2)'!AW106/'FY20 Initial Budget Allocat FTE'!AW$121</f>
        <v>0</v>
      </c>
      <c r="AX106" s="115">
        <f>'[8]FY20 Initial Budget Allocat (2)'!AX106/'FY20 Initial Budget Allocat FTE'!AX$121</f>
        <v>1</v>
      </c>
      <c r="AY106" s="115">
        <f>'[8]FY20 Initial Budget Allocat (2)'!AY106/'FY20 Initial Budget Allocat FTE'!AY$121</f>
        <v>4</v>
      </c>
      <c r="AZ106" s="115">
        <f>'[8]FY20 Initial Budget Allocat (2)'!AZ106/'FY20 Initial Budget Allocat FTE'!AZ$121</f>
        <v>7</v>
      </c>
      <c r="BA106" s="115">
        <f>'[8]FY20 Initial Budget Allocat (2)'!BA106/'FY20 Initial Budget Allocat FTE'!BA$121</f>
        <v>1</v>
      </c>
      <c r="BB106" s="115">
        <f>'[8]FY20 Initial Budget Allocat (2)'!BB106/'FY20 Initial Budget Allocat FTE'!BB$121</f>
        <v>1</v>
      </c>
      <c r="BC106" s="115">
        <f>'[8]FY20 Initial Budget Allocat (2)'!BC106/'FY20 Initial Budget Allocat FTE'!BC$121</f>
        <v>0</v>
      </c>
      <c r="BD106" s="115">
        <f>'[8]FY20 Initial Budget Allocat (2)'!BD106/'FY20 Initial Budget Allocat FTE'!BD$121</f>
        <v>14</v>
      </c>
      <c r="BE106" s="115">
        <f>'[8]FY20 Initial Budget Allocat (2)'!BE106/'FY20 Initial Budget Allocat FTE'!BE$121</f>
        <v>0</v>
      </c>
      <c r="BF106" s="115">
        <f>'[8]FY20 Initial Budget Allocat (2)'!BF106/'FY20 Initial Budget Allocat FTE'!BF$121</f>
        <v>3.0000000000000004</v>
      </c>
      <c r="BG106" s="115">
        <f>'[8]FY20 Initial Budget Allocat (2)'!BG106/'FY20 Initial Budget Allocat FTE'!BG$121</f>
        <v>2.0628967591045773</v>
      </c>
      <c r="BH106" s="115">
        <f>'[8]FY20 Initial Budget Allocat (2)'!BH106/'FY20 Initial Budget Allocat FTE'!BH$121</f>
        <v>8</v>
      </c>
      <c r="BI106" s="115">
        <f>'[8]FY20 Initial Budget Allocat (2)'!BI106/'FY20 Initial Budget Allocat FTE'!BI$121</f>
        <v>1</v>
      </c>
      <c r="BJ106" s="79"/>
      <c r="BK106" s="79">
        <v>0</v>
      </c>
      <c r="BL106" s="79">
        <v>35539.5</v>
      </c>
      <c r="BM106" s="79">
        <v>331821.61</v>
      </c>
      <c r="BN106" s="79">
        <v>5280.14</v>
      </c>
      <c r="BO106" s="79">
        <v>0</v>
      </c>
      <c r="BP106" s="115">
        <f>'[8]FY20 Initial Budget Allocat (2)'!BP106/'FY20 Initial Budget Allocat FTE'!BP$121</f>
        <v>0</v>
      </c>
      <c r="BQ106" s="115">
        <f>'[8]FY20 Initial Budget Allocat (2)'!BQ106/'FY20 Initial Budget Allocat FTE'!BQ$121</f>
        <v>0</v>
      </c>
      <c r="BR106" s="115">
        <f>'[8]FY20 Initial Budget Allocat (2)'!BR106/'FY20 Initial Budget Allocat FTE'!BR$121</f>
        <v>0</v>
      </c>
      <c r="BS106" s="115">
        <f>'[8]FY20 Initial Budget Allocat (2)'!BS106/'FY20 Initial Budget Allocat FTE'!BS$121</f>
        <v>0</v>
      </c>
      <c r="BT106" s="115">
        <f>'[8]FY20 Initial Budget Allocat (2)'!BT106/'FY20 Initial Budget Allocat FTE'!BT$121</f>
        <v>0</v>
      </c>
      <c r="BU106" s="115">
        <f>'[8]FY20 Initial Budget Allocat (2)'!BU106/'FY20 Initial Budget Allocat FTE'!BU$121</f>
        <v>0</v>
      </c>
      <c r="BV106" s="115">
        <f>'[8]FY20 Initial Budget Allocat (2)'!BV106/'FY20 Initial Budget Allocat FTE'!BV$121</f>
        <v>0</v>
      </c>
      <c r="BW106" s="80">
        <v>0</v>
      </c>
      <c r="BX106" s="80">
        <v>0</v>
      </c>
      <c r="BY106" s="80">
        <v>0</v>
      </c>
      <c r="BZ106" s="80">
        <v>0</v>
      </c>
      <c r="CA106" s="115">
        <f>'[8]FY20 Initial Budget Allocat (2)'!CA106/'FY20 Initial Budget Allocat FTE'!CA$121</f>
        <v>0</v>
      </c>
      <c r="CB106" s="115">
        <f>'[8]FY20 Initial Budget Allocat (2)'!CB106/'FY20 Initial Budget Allocat FTE'!CB$121</f>
        <v>0</v>
      </c>
      <c r="CC106" s="80">
        <v>0</v>
      </c>
      <c r="CD106" s="115">
        <f>'[8]FY20 Initial Budget Allocat (2)'!CD106/'FY20 Initial Budget Allocat FTE'!CD$121</f>
        <v>0</v>
      </c>
      <c r="CE106" s="115">
        <f>'[8]FY20 Initial Budget Allocat (2)'!CE106/'FY20 Initial Budget Allocat FTE'!CE$121</f>
        <v>0</v>
      </c>
      <c r="CF106" s="115">
        <f>'[8]FY20 Initial Budget Allocat (2)'!CF106/'FY20 Initial Budget Allocat FTE'!CF$121</f>
        <v>0</v>
      </c>
      <c r="CG106" s="115">
        <f>'[8]FY20 Initial Budget Allocat (2)'!CG106/'FY20 Initial Budget Allocat FTE'!CG$121</f>
        <v>0</v>
      </c>
      <c r="CH106" s="115">
        <f>'[8]FY20 Initial Budget Allocat (2)'!CH106/'FY20 Initial Budget Allocat FTE'!CH$121</f>
        <v>0</v>
      </c>
      <c r="CI106" s="115">
        <f>'[8]FY20 Initial Budget Allocat (2)'!CI106/'FY20 Initial Budget Allocat FTE'!CI$121</f>
        <v>2</v>
      </c>
      <c r="CJ106" s="115">
        <f>'[8]FY20 Initial Budget Allocat (2)'!CJ106/'FY20 Initial Budget Allocat FTE'!CJ$121</f>
        <v>0</v>
      </c>
      <c r="CK106" s="79">
        <v>23000</v>
      </c>
      <c r="CL106" s="79">
        <v>5000</v>
      </c>
      <c r="CM106" s="79">
        <v>108165.6</v>
      </c>
      <c r="CN106" s="79">
        <v>100000</v>
      </c>
      <c r="CO106" s="115">
        <f>'[8]FY20 Initial Budget Allocat (2)'!CO106/'FY20 Initial Budget Allocat FTE'!CO$121</f>
        <v>0</v>
      </c>
      <c r="CP106" s="79">
        <v>0</v>
      </c>
      <c r="CQ106" s="79">
        <v>7401.9363762102348</v>
      </c>
      <c r="CR106" s="79">
        <v>478080</v>
      </c>
      <c r="CS106" s="79">
        <v>30999.737269372694</v>
      </c>
      <c r="CT106" s="115">
        <f>'[8]FY20 Initial Budget Allocat (2)'!CT106/'FY20 Initial Budget Allocat FTE'!CT$121</f>
        <v>0</v>
      </c>
      <c r="CU106" s="115">
        <f>'[8]FY20 Initial Budget Allocat (2)'!CU106/'FY20 Initial Budget Allocat FTE'!CU$121</f>
        <v>0</v>
      </c>
      <c r="CV106" s="79"/>
      <c r="CW106" s="79">
        <v>0</v>
      </c>
      <c r="CX106" s="115">
        <f>'[8]FY20 Initial Budget Allocat (2)'!CX106/'FY20 Initial Budget Allocat FTE'!CX$121</f>
        <v>0</v>
      </c>
      <c r="CY106" s="79">
        <v>0</v>
      </c>
      <c r="CZ106" s="79">
        <v>0</v>
      </c>
      <c r="DA106" s="79">
        <v>56800</v>
      </c>
      <c r="DB106" s="79">
        <v>148743.63793081837</v>
      </c>
      <c r="DC106" s="82">
        <v>0</v>
      </c>
      <c r="DD106" s="79">
        <v>0</v>
      </c>
      <c r="DE106" s="79"/>
      <c r="DF106" s="79">
        <v>41400</v>
      </c>
      <c r="DG106" s="79">
        <v>0</v>
      </c>
      <c r="DH106" s="83">
        <v>0</v>
      </c>
      <c r="DI106" s="79">
        <v>17776.172423912867</v>
      </c>
      <c r="DJ106" s="79">
        <v>10096865.936782513</v>
      </c>
      <c r="DK106" s="84">
        <v>3.2174866646528244E-3</v>
      </c>
      <c r="DL106" s="84">
        <v>0</v>
      </c>
      <c r="DM106" s="84">
        <f t="shared" si="6"/>
        <v>10096865.939999999</v>
      </c>
      <c r="DN106" s="116">
        <f t="shared" si="7"/>
        <v>10</v>
      </c>
      <c r="DO106" s="116">
        <f t="shared" si="8"/>
        <v>10</v>
      </c>
      <c r="DP106" s="116">
        <f t="shared" si="9"/>
        <v>19.100000000000001</v>
      </c>
      <c r="DQ106" s="116">
        <f t="shared" si="10"/>
        <v>29</v>
      </c>
      <c r="DR106" s="116">
        <f t="shared" si="11"/>
        <v>1</v>
      </c>
    </row>
    <row r="107" spans="1:122" x14ac:dyDescent="0.25">
      <c r="A107" s="76">
        <v>328</v>
      </c>
      <c r="B107" s="76" t="s">
        <v>248</v>
      </c>
      <c r="C107" s="77" t="s">
        <v>135</v>
      </c>
      <c r="D107" s="41">
        <v>1</v>
      </c>
      <c r="E107" s="78">
        <v>534</v>
      </c>
      <c r="F107" s="78">
        <v>339.80384615384617</v>
      </c>
      <c r="G107" s="115">
        <f>'[8]FY20 Initial Budget Allocat (2)'!G107/'FY20 Initial Budget Allocat FTE'!G$121</f>
        <v>1</v>
      </c>
      <c r="H107" s="115">
        <f>'[8]FY20 Initial Budget Allocat (2)'!H107/'FY20 Initial Budget Allocat FTE'!H$121</f>
        <v>1</v>
      </c>
      <c r="I107" s="115">
        <f>'[8]FY20 Initial Budget Allocat (2)'!I107/'FY20 Initial Budget Allocat FTE'!I$121</f>
        <v>1.3</v>
      </c>
      <c r="J107" s="115">
        <f>'[8]FY20 Initial Budget Allocat (2)'!J107/'FY20 Initial Budget Allocat FTE'!J$121</f>
        <v>0</v>
      </c>
      <c r="K107" s="115">
        <f>'[8]FY20 Initial Budget Allocat (2)'!K107/'FY20 Initial Budget Allocat FTE'!K$121</f>
        <v>0</v>
      </c>
      <c r="L107" s="115">
        <f>'[8]FY20 Initial Budget Allocat (2)'!L107/'FY20 Initial Budget Allocat FTE'!L$121</f>
        <v>1</v>
      </c>
      <c r="M107" s="115">
        <f>'[8]FY20 Initial Budget Allocat (2)'!M107/'FY20 Initial Budget Allocat FTE'!M$121</f>
        <v>1</v>
      </c>
      <c r="N107" s="115">
        <f>'[8]FY20 Initial Budget Allocat (2)'!N107/'FY20 Initial Budget Allocat FTE'!N$121</f>
        <v>1.3</v>
      </c>
      <c r="O107" s="115">
        <f>'[8]FY20 Initial Budget Allocat (2)'!O107/'FY20 Initial Budget Allocat FTE'!O$121</f>
        <v>0</v>
      </c>
      <c r="P107" s="115">
        <f>'[8]FY20 Initial Budget Allocat (2)'!P107/'FY20 Initial Budget Allocat FTE'!P$121</f>
        <v>0</v>
      </c>
      <c r="Q107" s="115">
        <f>'[8]FY20 Initial Budget Allocat (2)'!Q107/'FY20 Initial Budget Allocat FTE'!Q$121</f>
        <v>0</v>
      </c>
      <c r="R107" s="115">
        <f>'[8]FY20 Initial Budget Allocat (2)'!R107/'FY20 Initial Budget Allocat FTE'!R$121</f>
        <v>1</v>
      </c>
      <c r="S107" s="115">
        <f>'[8]FY20 Initial Budget Allocat (2)'!S107/'FY20 Initial Budget Allocat FTE'!S$121</f>
        <v>1</v>
      </c>
      <c r="T107" s="115">
        <f>'[8]FY20 Initial Budget Allocat (2)'!T107/'FY20 Initial Budget Allocat FTE'!T$121</f>
        <v>3</v>
      </c>
      <c r="U107" s="115">
        <f>'[8]FY20 Initial Budget Allocat (2)'!U107/'FY20 Initial Budget Allocat FTE'!U$121</f>
        <v>1</v>
      </c>
      <c r="V107" s="115">
        <f>'[8]FY20 Initial Budget Allocat (2)'!V107/'FY20 Initial Budget Allocat FTE'!V$121</f>
        <v>1</v>
      </c>
      <c r="W107" s="115">
        <f>'[8]FY20 Initial Budget Allocat (2)'!W107/'FY20 Initial Budget Allocat FTE'!W$121</f>
        <v>1</v>
      </c>
      <c r="X107" s="115">
        <f>'[8]FY20 Initial Budget Allocat (2)'!X107/'FY20 Initial Budget Allocat FTE'!X$121</f>
        <v>1</v>
      </c>
      <c r="Y107" s="115">
        <f>'[8]FY20 Initial Budget Allocat (2)'!Y107/'FY20 Initial Budget Allocat FTE'!Y$121</f>
        <v>1.5000000000000002</v>
      </c>
      <c r="Z107" s="115">
        <f>'[8]FY20 Initial Budget Allocat (2)'!Z107/'FY20 Initial Budget Allocat FTE'!Z$121</f>
        <v>0</v>
      </c>
      <c r="AA107" s="115">
        <f>'[8]FY20 Initial Budget Allocat (2)'!AA107/'FY20 Initial Budget Allocat FTE'!AA$121</f>
        <v>0</v>
      </c>
      <c r="AB107" s="115">
        <f>'[8]FY20 Initial Budget Allocat (2)'!AB107/'FY20 Initial Budget Allocat FTE'!AB$121</f>
        <v>0</v>
      </c>
      <c r="AC107" s="115">
        <f>'[8]FY20 Initial Budget Allocat (2)'!AC107/'FY20 Initial Budget Allocat FTE'!AC$121</f>
        <v>4</v>
      </c>
      <c r="AD107" s="115">
        <f>'[8]FY20 Initial Budget Allocat (2)'!AD107/'FY20 Initial Budget Allocat FTE'!AD$121</f>
        <v>4</v>
      </c>
      <c r="AE107" s="115">
        <f>'[8]FY20 Initial Budget Allocat (2)'!AE107/'FY20 Initial Budget Allocat FTE'!AE$121</f>
        <v>0</v>
      </c>
      <c r="AF107" s="115">
        <f>'[8]FY20 Initial Budget Allocat (2)'!AF107/'FY20 Initial Budget Allocat FTE'!AF$121</f>
        <v>0</v>
      </c>
      <c r="AG107" s="115">
        <f>'[8]FY20 Initial Budget Allocat (2)'!AG107/'FY20 Initial Budget Allocat FTE'!AG$121</f>
        <v>4</v>
      </c>
      <c r="AH107" s="115">
        <f>'[8]FY20 Initial Budget Allocat (2)'!AH107/'FY20 Initial Budget Allocat FTE'!AH$121</f>
        <v>4</v>
      </c>
      <c r="AI107" s="115">
        <f>'[8]FY20 Initial Budget Allocat (2)'!AI107/'FY20 Initial Budget Allocat FTE'!AI$121</f>
        <v>4</v>
      </c>
      <c r="AJ107" s="115">
        <f>'[8]FY20 Initial Budget Allocat (2)'!AJ107/'FY20 Initial Budget Allocat FTE'!AJ$121</f>
        <v>4</v>
      </c>
      <c r="AK107" s="115">
        <f>'[8]FY20 Initial Budget Allocat (2)'!AK107/'FY20 Initial Budget Allocat FTE'!AK$121</f>
        <v>3.0000000000000004</v>
      </c>
      <c r="AL107" s="115">
        <f>'[8]FY20 Initial Budget Allocat (2)'!AL107/'FY20 Initial Budget Allocat FTE'!AL$121</f>
        <v>3.0000000000000004</v>
      </c>
      <c r="AM107" s="115">
        <f>'[8]FY20 Initial Budget Allocat (2)'!AM107/'FY20 Initial Budget Allocat FTE'!AM$121</f>
        <v>3.0000000000000004</v>
      </c>
      <c r="AN107" s="115">
        <f>'[8]FY20 Initial Budget Allocat (2)'!AN107/'FY20 Initial Budget Allocat FTE'!AN$121</f>
        <v>0</v>
      </c>
      <c r="AO107" s="115">
        <f>'[8]FY20 Initial Budget Allocat (2)'!AO107/'FY20 Initial Budget Allocat FTE'!AO$121</f>
        <v>0</v>
      </c>
      <c r="AP107" s="115">
        <f>'[8]FY20 Initial Budget Allocat (2)'!AP107/'FY20 Initial Budget Allocat FTE'!AP$121</f>
        <v>0</v>
      </c>
      <c r="AQ107" s="115">
        <f>'[8]FY20 Initial Budget Allocat (2)'!AQ107/'FY20 Initial Budget Allocat FTE'!AQ$121</f>
        <v>0</v>
      </c>
      <c r="AR107" s="115">
        <f>'[8]FY20 Initial Budget Allocat (2)'!AR107/'FY20 Initial Budget Allocat FTE'!AR$121</f>
        <v>0</v>
      </c>
      <c r="AS107" s="115">
        <f>'[8]FY20 Initial Budget Allocat (2)'!AS107/'FY20 Initial Budget Allocat FTE'!AS$121</f>
        <v>0</v>
      </c>
      <c r="AT107" s="115">
        <f>'[8]FY20 Initial Budget Allocat (2)'!AT107/'FY20 Initial Budget Allocat FTE'!AT$121</f>
        <v>0</v>
      </c>
      <c r="AU107" s="115">
        <f>'[8]FY20 Initial Budget Allocat (2)'!AU107/'FY20 Initial Budget Allocat FTE'!AU$121</f>
        <v>0</v>
      </c>
      <c r="AV107" s="115">
        <f>'[8]FY20 Initial Budget Allocat (2)'!AV107/'FY20 Initial Budget Allocat FTE'!AV$121</f>
        <v>0</v>
      </c>
      <c r="AW107" s="115">
        <f>'[8]FY20 Initial Budget Allocat (2)'!AW107/'FY20 Initial Budget Allocat FTE'!AW$121</f>
        <v>0</v>
      </c>
      <c r="AX107" s="115">
        <f>'[8]FY20 Initial Budget Allocat (2)'!AX107/'FY20 Initial Budget Allocat FTE'!AX$121</f>
        <v>1</v>
      </c>
      <c r="AY107" s="115">
        <f>'[8]FY20 Initial Budget Allocat (2)'!AY107/'FY20 Initial Budget Allocat FTE'!AY$121</f>
        <v>3.0000000000000004</v>
      </c>
      <c r="AZ107" s="115">
        <f>'[8]FY20 Initial Budget Allocat (2)'!AZ107/'FY20 Initial Budget Allocat FTE'!AZ$121</f>
        <v>10</v>
      </c>
      <c r="BA107" s="115">
        <f>'[8]FY20 Initial Budget Allocat (2)'!BA107/'FY20 Initial Budget Allocat FTE'!BA$121</f>
        <v>4</v>
      </c>
      <c r="BB107" s="115">
        <f>'[8]FY20 Initial Budget Allocat (2)'!BB107/'FY20 Initial Budget Allocat FTE'!BB$121</f>
        <v>0</v>
      </c>
      <c r="BC107" s="115">
        <f>'[8]FY20 Initial Budget Allocat (2)'!BC107/'FY20 Initial Budget Allocat FTE'!BC$121</f>
        <v>0</v>
      </c>
      <c r="BD107" s="115">
        <f>'[8]FY20 Initial Budget Allocat (2)'!BD107/'FY20 Initial Budget Allocat FTE'!BD$121</f>
        <v>13</v>
      </c>
      <c r="BE107" s="115">
        <f>'[8]FY20 Initial Budget Allocat (2)'!BE107/'FY20 Initial Budget Allocat FTE'!BE$121</f>
        <v>0</v>
      </c>
      <c r="BF107" s="115">
        <f>'[8]FY20 Initial Budget Allocat (2)'!BF107/'FY20 Initial Budget Allocat FTE'!BF$121</f>
        <v>2</v>
      </c>
      <c r="BG107" s="115">
        <f>'[8]FY20 Initial Budget Allocat (2)'!BG107/'FY20 Initial Budget Allocat FTE'!BG$121</f>
        <v>5</v>
      </c>
      <c r="BH107" s="115">
        <f>'[8]FY20 Initial Budget Allocat (2)'!BH107/'FY20 Initial Budget Allocat FTE'!BH$121</f>
        <v>5</v>
      </c>
      <c r="BI107" s="115">
        <f>'[8]FY20 Initial Budget Allocat (2)'!BI107/'FY20 Initial Budget Allocat FTE'!BI$121</f>
        <v>1</v>
      </c>
      <c r="BJ107" s="79"/>
      <c r="BK107" s="79">
        <v>0</v>
      </c>
      <c r="BL107" s="79"/>
      <c r="BM107" s="79">
        <v>254333.19</v>
      </c>
      <c r="BN107" s="79">
        <v>4047.1</v>
      </c>
      <c r="BO107" s="79">
        <v>0</v>
      </c>
      <c r="BP107" s="115">
        <f>'[8]FY20 Initial Budget Allocat (2)'!BP107/'FY20 Initial Budget Allocat FTE'!BP$121</f>
        <v>0</v>
      </c>
      <c r="BQ107" s="115">
        <f>'[8]FY20 Initial Budget Allocat (2)'!BQ107/'FY20 Initial Budget Allocat FTE'!BQ$121</f>
        <v>0</v>
      </c>
      <c r="BR107" s="115">
        <f>'[8]FY20 Initial Budget Allocat (2)'!BR107/'FY20 Initial Budget Allocat FTE'!BR$121</f>
        <v>0</v>
      </c>
      <c r="BS107" s="115">
        <f>'[8]FY20 Initial Budget Allocat (2)'!BS107/'FY20 Initial Budget Allocat FTE'!BS$121</f>
        <v>0</v>
      </c>
      <c r="BT107" s="115">
        <f>'[8]FY20 Initial Budget Allocat (2)'!BT107/'FY20 Initial Budget Allocat FTE'!BT$121</f>
        <v>0</v>
      </c>
      <c r="BU107" s="115">
        <f>'[8]FY20 Initial Budget Allocat (2)'!BU107/'FY20 Initial Budget Allocat FTE'!BU$121</f>
        <v>0</v>
      </c>
      <c r="BV107" s="115">
        <f>'[8]FY20 Initial Budget Allocat (2)'!BV107/'FY20 Initial Budget Allocat FTE'!BV$121</f>
        <v>0</v>
      </c>
      <c r="BW107" s="80">
        <v>0</v>
      </c>
      <c r="BX107" s="80">
        <v>0</v>
      </c>
      <c r="BY107" s="80">
        <v>0</v>
      </c>
      <c r="BZ107" s="80">
        <v>0</v>
      </c>
      <c r="CA107" s="115">
        <f>'[8]FY20 Initial Budget Allocat (2)'!CA107/'FY20 Initial Budget Allocat FTE'!CA$121</f>
        <v>0</v>
      </c>
      <c r="CB107" s="115">
        <f>'[8]FY20 Initial Budget Allocat (2)'!CB107/'FY20 Initial Budget Allocat FTE'!CB$121</f>
        <v>0</v>
      </c>
      <c r="CC107" s="80">
        <v>0</v>
      </c>
      <c r="CD107" s="115">
        <f>'[8]FY20 Initial Budget Allocat (2)'!CD107/'FY20 Initial Budget Allocat FTE'!CD$121</f>
        <v>0</v>
      </c>
      <c r="CE107" s="115">
        <f>'[8]FY20 Initial Budget Allocat (2)'!CE107/'FY20 Initial Budget Allocat FTE'!CE$121</f>
        <v>0</v>
      </c>
      <c r="CF107" s="115">
        <f>'[8]FY20 Initial Budget Allocat (2)'!CF107/'FY20 Initial Budget Allocat FTE'!CF$121</f>
        <v>0</v>
      </c>
      <c r="CG107" s="115">
        <f>'[8]FY20 Initial Budget Allocat (2)'!CG107/'FY20 Initial Budget Allocat FTE'!CG$121</f>
        <v>0</v>
      </c>
      <c r="CH107" s="115">
        <f>'[8]FY20 Initial Budget Allocat (2)'!CH107/'FY20 Initial Budget Allocat FTE'!CH$121</f>
        <v>0</v>
      </c>
      <c r="CI107" s="115">
        <f>'[8]FY20 Initial Budget Allocat (2)'!CI107/'FY20 Initial Budget Allocat FTE'!CI$121</f>
        <v>0</v>
      </c>
      <c r="CJ107" s="115">
        <f>'[8]FY20 Initial Budget Allocat (2)'!CJ107/'FY20 Initial Budget Allocat FTE'!CJ$121</f>
        <v>0</v>
      </c>
      <c r="CK107" s="79">
        <v>0</v>
      </c>
      <c r="CL107" s="79">
        <v>0</v>
      </c>
      <c r="CM107" s="79">
        <v>108165.6</v>
      </c>
      <c r="CN107" s="79">
        <v>0</v>
      </c>
      <c r="CO107" s="115">
        <f>'[8]FY20 Initial Budget Allocat (2)'!CO107/'FY20 Initial Budget Allocat FTE'!CO$121</f>
        <v>0</v>
      </c>
      <c r="CP107" s="79">
        <v>0</v>
      </c>
      <c r="CQ107" s="79">
        <v>6796.0769230769238</v>
      </c>
      <c r="CR107" s="79">
        <v>0</v>
      </c>
      <c r="CS107" s="79">
        <v>28173.440000000002</v>
      </c>
      <c r="CT107" s="115">
        <f>'[8]FY20 Initial Budget Allocat (2)'!CT107/'FY20 Initial Budget Allocat FTE'!CT$121</f>
        <v>0</v>
      </c>
      <c r="CU107" s="115">
        <f>'[8]FY20 Initial Budget Allocat (2)'!CU107/'FY20 Initial Budget Allocat FTE'!CU$121</f>
        <v>0</v>
      </c>
      <c r="CV107" s="79"/>
      <c r="CW107" s="79">
        <v>0</v>
      </c>
      <c r="CX107" s="115">
        <f>'[8]FY20 Initial Budget Allocat (2)'!CX107/'FY20 Initial Budget Allocat FTE'!CX$121</f>
        <v>0</v>
      </c>
      <c r="CY107" s="79">
        <v>0</v>
      </c>
      <c r="CZ107" s="79">
        <v>0</v>
      </c>
      <c r="DA107" s="79">
        <v>53400</v>
      </c>
      <c r="DB107" s="79">
        <v>126219.82184924706</v>
      </c>
      <c r="DC107" s="82">
        <v>0</v>
      </c>
      <c r="DD107" s="79">
        <v>0</v>
      </c>
      <c r="DE107" s="79"/>
      <c r="DF107" s="79">
        <v>24500</v>
      </c>
      <c r="DG107" s="79">
        <v>0</v>
      </c>
      <c r="DH107" s="83">
        <v>0</v>
      </c>
      <c r="DI107" s="79">
        <v>15936.516322665164</v>
      </c>
      <c r="DJ107" s="79">
        <v>8510099.7163031977</v>
      </c>
      <c r="DK107" s="84">
        <v>108947.28369680233</v>
      </c>
      <c r="DL107" s="84">
        <v>0</v>
      </c>
      <c r="DM107" s="84">
        <f t="shared" si="6"/>
        <v>8619047</v>
      </c>
      <c r="DN107" s="116">
        <f t="shared" si="7"/>
        <v>8</v>
      </c>
      <c r="DO107" s="116">
        <f t="shared" si="8"/>
        <v>8</v>
      </c>
      <c r="DP107" s="116">
        <f t="shared" si="9"/>
        <v>17</v>
      </c>
      <c r="DQ107" s="116">
        <f t="shared" si="10"/>
        <v>29</v>
      </c>
      <c r="DR107" s="116">
        <f t="shared" si="11"/>
        <v>4</v>
      </c>
    </row>
    <row r="108" spans="1:122" x14ac:dyDescent="0.25">
      <c r="A108" s="76">
        <v>329</v>
      </c>
      <c r="B108" s="76" t="s">
        <v>249</v>
      </c>
      <c r="C108" s="77" t="s">
        <v>135</v>
      </c>
      <c r="D108" s="41">
        <v>8</v>
      </c>
      <c r="E108" s="78">
        <v>500</v>
      </c>
      <c r="F108" s="78">
        <v>438.82490272373542</v>
      </c>
      <c r="G108" s="115">
        <f>'[8]FY20 Initial Budget Allocat (2)'!G108/'FY20 Initial Budget Allocat FTE'!G$121</f>
        <v>1</v>
      </c>
      <c r="H108" s="115">
        <f>'[8]FY20 Initial Budget Allocat (2)'!H108/'FY20 Initial Budget Allocat FTE'!H$121</f>
        <v>1</v>
      </c>
      <c r="I108" s="115">
        <f>'[8]FY20 Initial Budget Allocat (2)'!I108/'FY20 Initial Budget Allocat FTE'!I$121</f>
        <v>1.3</v>
      </c>
      <c r="J108" s="115">
        <f>'[8]FY20 Initial Budget Allocat (2)'!J108/'FY20 Initial Budget Allocat FTE'!J$121</f>
        <v>0</v>
      </c>
      <c r="K108" s="115">
        <f>'[8]FY20 Initial Budget Allocat (2)'!K108/'FY20 Initial Budget Allocat FTE'!K$121</f>
        <v>0</v>
      </c>
      <c r="L108" s="115">
        <f>'[8]FY20 Initial Budget Allocat (2)'!L108/'FY20 Initial Budget Allocat FTE'!L$121</f>
        <v>1</v>
      </c>
      <c r="M108" s="115">
        <f>'[8]FY20 Initial Budget Allocat (2)'!M108/'FY20 Initial Budget Allocat FTE'!M$121</f>
        <v>1</v>
      </c>
      <c r="N108" s="115">
        <f>'[8]FY20 Initial Budget Allocat (2)'!N108/'FY20 Initial Budget Allocat FTE'!N$121</f>
        <v>1.3</v>
      </c>
      <c r="O108" s="115">
        <f>'[8]FY20 Initial Budget Allocat (2)'!O108/'FY20 Initial Budget Allocat FTE'!O$121</f>
        <v>0</v>
      </c>
      <c r="P108" s="115">
        <f>'[8]FY20 Initial Budget Allocat (2)'!P108/'FY20 Initial Budget Allocat FTE'!P$121</f>
        <v>0</v>
      </c>
      <c r="Q108" s="115">
        <f>'[8]FY20 Initial Budget Allocat (2)'!Q108/'FY20 Initial Budget Allocat FTE'!Q$121</f>
        <v>0</v>
      </c>
      <c r="R108" s="115">
        <f>'[8]FY20 Initial Budget Allocat (2)'!R108/'FY20 Initial Budget Allocat FTE'!R$121</f>
        <v>1</v>
      </c>
      <c r="S108" s="115">
        <f>'[8]FY20 Initial Budget Allocat (2)'!S108/'FY20 Initial Budget Allocat FTE'!S$121</f>
        <v>1</v>
      </c>
      <c r="T108" s="115">
        <f>'[8]FY20 Initial Budget Allocat (2)'!T108/'FY20 Initial Budget Allocat FTE'!T$121</f>
        <v>2</v>
      </c>
      <c r="U108" s="115">
        <f>'[8]FY20 Initial Budget Allocat (2)'!U108/'FY20 Initial Budget Allocat FTE'!U$121</f>
        <v>1</v>
      </c>
      <c r="V108" s="115">
        <f>'[8]FY20 Initial Budget Allocat (2)'!V108/'FY20 Initial Budget Allocat FTE'!V$121</f>
        <v>1</v>
      </c>
      <c r="W108" s="115">
        <f>'[8]FY20 Initial Budget Allocat (2)'!W108/'FY20 Initial Budget Allocat FTE'!W$121</f>
        <v>1</v>
      </c>
      <c r="X108" s="115">
        <f>'[8]FY20 Initial Budget Allocat (2)'!X108/'FY20 Initial Budget Allocat FTE'!X$121</f>
        <v>1</v>
      </c>
      <c r="Y108" s="115">
        <f>'[8]FY20 Initial Budget Allocat (2)'!Y108/'FY20 Initial Budget Allocat FTE'!Y$121</f>
        <v>2</v>
      </c>
      <c r="Z108" s="115">
        <f>'[8]FY20 Initial Budget Allocat (2)'!Z108/'FY20 Initial Budget Allocat FTE'!Z$121</f>
        <v>0</v>
      </c>
      <c r="AA108" s="115">
        <f>'[8]FY20 Initial Budget Allocat (2)'!AA108/'FY20 Initial Budget Allocat FTE'!AA$121</f>
        <v>2</v>
      </c>
      <c r="AB108" s="115">
        <f>'[8]FY20 Initial Budget Allocat (2)'!AB108/'FY20 Initial Budget Allocat FTE'!AB$121</f>
        <v>2</v>
      </c>
      <c r="AC108" s="115">
        <f>'[8]FY20 Initial Budget Allocat (2)'!AC108/'FY20 Initial Budget Allocat FTE'!AC$121</f>
        <v>1</v>
      </c>
      <c r="AD108" s="115">
        <f>'[8]FY20 Initial Budget Allocat (2)'!AD108/'FY20 Initial Budget Allocat FTE'!AD$121</f>
        <v>1</v>
      </c>
      <c r="AE108" s="115">
        <f>'[8]FY20 Initial Budget Allocat (2)'!AE108/'FY20 Initial Budget Allocat FTE'!AE$121</f>
        <v>2</v>
      </c>
      <c r="AF108" s="115">
        <f>'[8]FY20 Initial Budget Allocat (2)'!AF108/'FY20 Initial Budget Allocat FTE'!AF$121</f>
        <v>2</v>
      </c>
      <c r="AG108" s="115">
        <f>'[8]FY20 Initial Budget Allocat (2)'!AG108/'FY20 Initial Budget Allocat FTE'!AG$121</f>
        <v>3.0000000000000004</v>
      </c>
      <c r="AH108" s="115">
        <f>'[8]FY20 Initial Budget Allocat (2)'!AH108/'FY20 Initial Budget Allocat FTE'!AH$121</f>
        <v>3</v>
      </c>
      <c r="AI108" s="115">
        <f>'[8]FY20 Initial Budget Allocat (2)'!AI108/'FY20 Initial Budget Allocat FTE'!AI$121</f>
        <v>3.0000000000000004</v>
      </c>
      <c r="AJ108" s="115">
        <f>'[8]FY20 Initial Budget Allocat (2)'!AJ108/'FY20 Initial Budget Allocat FTE'!AJ$121</f>
        <v>3.0000000000000004</v>
      </c>
      <c r="AK108" s="115">
        <f>'[8]FY20 Initial Budget Allocat (2)'!AK108/'FY20 Initial Budget Allocat FTE'!AK$121</f>
        <v>3.0000000000000004</v>
      </c>
      <c r="AL108" s="115">
        <f>'[8]FY20 Initial Budget Allocat (2)'!AL108/'FY20 Initial Budget Allocat FTE'!AL$121</f>
        <v>4</v>
      </c>
      <c r="AM108" s="115">
        <f>'[8]FY20 Initial Budget Allocat (2)'!AM108/'FY20 Initial Budget Allocat FTE'!AM$121</f>
        <v>3.0000000000000004</v>
      </c>
      <c r="AN108" s="115">
        <f>'[8]FY20 Initial Budget Allocat (2)'!AN108/'FY20 Initial Budget Allocat FTE'!AN$121</f>
        <v>0</v>
      </c>
      <c r="AO108" s="115">
        <f>'[8]FY20 Initial Budget Allocat (2)'!AO108/'FY20 Initial Budget Allocat FTE'!AO$121</f>
        <v>0</v>
      </c>
      <c r="AP108" s="115">
        <f>'[8]FY20 Initial Budget Allocat (2)'!AP108/'FY20 Initial Budget Allocat FTE'!AP$121</f>
        <v>0</v>
      </c>
      <c r="AQ108" s="115">
        <f>'[8]FY20 Initial Budget Allocat (2)'!AQ108/'FY20 Initial Budget Allocat FTE'!AQ$121</f>
        <v>0</v>
      </c>
      <c r="AR108" s="115">
        <f>'[8]FY20 Initial Budget Allocat (2)'!AR108/'FY20 Initial Budget Allocat FTE'!AR$121</f>
        <v>0</v>
      </c>
      <c r="AS108" s="115">
        <f>'[8]FY20 Initial Budget Allocat (2)'!AS108/'FY20 Initial Budget Allocat FTE'!AS$121</f>
        <v>0</v>
      </c>
      <c r="AT108" s="115">
        <f>'[8]FY20 Initial Budget Allocat (2)'!AT108/'FY20 Initial Budget Allocat FTE'!AT$121</f>
        <v>0</v>
      </c>
      <c r="AU108" s="115">
        <f>'[8]FY20 Initial Budget Allocat (2)'!AU108/'FY20 Initial Budget Allocat FTE'!AU$121</f>
        <v>0</v>
      </c>
      <c r="AV108" s="115">
        <f>'[8]FY20 Initial Budget Allocat (2)'!AV108/'FY20 Initial Budget Allocat FTE'!AV$121</f>
        <v>0</v>
      </c>
      <c r="AW108" s="115">
        <f>'[8]FY20 Initial Budget Allocat (2)'!AW108/'FY20 Initial Budget Allocat FTE'!AW$121</f>
        <v>0</v>
      </c>
      <c r="AX108" s="115">
        <f>'[8]FY20 Initial Budget Allocat (2)'!AX108/'FY20 Initial Budget Allocat FTE'!AX$121</f>
        <v>1</v>
      </c>
      <c r="AY108" s="115">
        <f>'[8]FY20 Initial Budget Allocat (2)'!AY108/'FY20 Initial Budget Allocat FTE'!AY$121</f>
        <v>2</v>
      </c>
      <c r="AZ108" s="115">
        <f>'[8]FY20 Initial Budget Allocat (2)'!AZ108/'FY20 Initial Budget Allocat FTE'!AZ$121</f>
        <v>6.0000000000000009</v>
      </c>
      <c r="BA108" s="115">
        <f>'[8]FY20 Initial Budget Allocat (2)'!BA108/'FY20 Initial Budget Allocat FTE'!BA$121</f>
        <v>4</v>
      </c>
      <c r="BB108" s="115">
        <f>'[8]FY20 Initial Budget Allocat (2)'!BB108/'FY20 Initial Budget Allocat FTE'!BB$121</f>
        <v>0</v>
      </c>
      <c r="BC108" s="115">
        <f>'[8]FY20 Initial Budget Allocat (2)'!BC108/'FY20 Initial Budget Allocat FTE'!BC$121</f>
        <v>0</v>
      </c>
      <c r="BD108" s="115">
        <f>'[8]FY20 Initial Budget Allocat (2)'!BD108/'FY20 Initial Budget Allocat FTE'!BD$121</f>
        <v>0.36363636363636365</v>
      </c>
      <c r="BE108" s="115">
        <f>'[8]FY20 Initial Budget Allocat (2)'!BE108/'FY20 Initial Budget Allocat FTE'!BE$121</f>
        <v>0</v>
      </c>
      <c r="BF108" s="115">
        <f>'[8]FY20 Initial Budget Allocat (2)'!BF108/'FY20 Initial Budget Allocat FTE'!BF$121</f>
        <v>0</v>
      </c>
      <c r="BG108" s="115">
        <f>'[8]FY20 Initial Budget Allocat (2)'!BG108/'FY20 Initial Budget Allocat FTE'!BG$121</f>
        <v>1.0003341129301704</v>
      </c>
      <c r="BH108" s="115">
        <f>'[8]FY20 Initial Budget Allocat (2)'!BH108/'FY20 Initial Budget Allocat FTE'!BH$121</f>
        <v>6</v>
      </c>
      <c r="BI108" s="115">
        <f>'[8]FY20 Initial Budget Allocat (2)'!BI108/'FY20 Initial Budget Allocat FTE'!BI$121</f>
        <v>1</v>
      </c>
      <c r="BJ108" s="79"/>
      <c r="BK108" s="79">
        <v>0</v>
      </c>
      <c r="BL108" s="79">
        <v>29928</v>
      </c>
      <c r="BM108" s="79">
        <v>220105.17</v>
      </c>
      <c r="BN108" s="79">
        <v>3502.44</v>
      </c>
      <c r="BO108" s="79">
        <v>0</v>
      </c>
      <c r="BP108" s="115">
        <f>'[8]FY20 Initial Budget Allocat (2)'!BP108/'FY20 Initial Budget Allocat FTE'!BP$121</f>
        <v>1</v>
      </c>
      <c r="BQ108" s="115">
        <f>'[8]FY20 Initial Budget Allocat (2)'!BQ108/'FY20 Initial Budget Allocat FTE'!BQ$121</f>
        <v>0</v>
      </c>
      <c r="BR108" s="115">
        <f>'[8]FY20 Initial Budget Allocat (2)'!BR108/'FY20 Initial Budget Allocat FTE'!BR$121</f>
        <v>0</v>
      </c>
      <c r="BS108" s="115">
        <f>'[8]FY20 Initial Budget Allocat (2)'!BS108/'FY20 Initial Budget Allocat FTE'!BS$121</f>
        <v>0</v>
      </c>
      <c r="BT108" s="115">
        <f>'[8]FY20 Initial Budget Allocat (2)'!BT108/'FY20 Initial Budget Allocat FTE'!BT$121</f>
        <v>0</v>
      </c>
      <c r="BU108" s="115">
        <f>'[8]FY20 Initial Budget Allocat (2)'!BU108/'FY20 Initial Budget Allocat FTE'!BU$121</f>
        <v>0</v>
      </c>
      <c r="BV108" s="115">
        <f>'[8]FY20 Initial Budget Allocat (2)'!BV108/'FY20 Initial Budget Allocat FTE'!BV$121</f>
        <v>0</v>
      </c>
      <c r="BW108" s="80">
        <v>0</v>
      </c>
      <c r="BX108" s="80">
        <v>0</v>
      </c>
      <c r="BY108" s="80">
        <v>0</v>
      </c>
      <c r="BZ108" s="80">
        <v>0</v>
      </c>
      <c r="CA108" s="115">
        <f>'[8]FY20 Initial Budget Allocat (2)'!CA108/'FY20 Initial Budget Allocat FTE'!CA$121</f>
        <v>0</v>
      </c>
      <c r="CB108" s="115">
        <f>'[8]FY20 Initial Budget Allocat (2)'!CB108/'FY20 Initial Budget Allocat FTE'!CB$121</f>
        <v>0</v>
      </c>
      <c r="CC108" s="80">
        <v>0</v>
      </c>
      <c r="CD108" s="115">
        <f>'[8]FY20 Initial Budget Allocat (2)'!CD108/'FY20 Initial Budget Allocat FTE'!CD$121</f>
        <v>0</v>
      </c>
      <c r="CE108" s="115">
        <f>'[8]FY20 Initial Budget Allocat (2)'!CE108/'FY20 Initial Budget Allocat FTE'!CE$121</f>
        <v>0</v>
      </c>
      <c r="CF108" s="115">
        <f>'[8]FY20 Initial Budget Allocat (2)'!CF108/'FY20 Initial Budget Allocat FTE'!CF$121</f>
        <v>0</v>
      </c>
      <c r="CG108" s="115">
        <f>'[8]FY20 Initial Budget Allocat (2)'!CG108/'FY20 Initial Budget Allocat FTE'!CG$121</f>
        <v>0</v>
      </c>
      <c r="CH108" s="115">
        <f>'[8]FY20 Initial Budget Allocat (2)'!CH108/'FY20 Initial Budget Allocat FTE'!CH$121</f>
        <v>0</v>
      </c>
      <c r="CI108" s="115">
        <f>'[8]FY20 Initial Budget Allocat (2)'!CI108/'FY20 Initial Budget Allocat FTE'!CI$121</f>
        <v>0</v>
      </c>
      <c r="CJ108" s="115">
        <f>'[8]FY20 Initial Budget Allocat (2)'!CJ108/'FY20 Initial Budget Allocat FTE'!CJ$121</f>
        <v>0</v>
      </c>
      <c r="CK108" s="79">
        <v>0</v>
      </c>
      <c r="CL108" s="79">
        <v>0</v>
      </c>
      <c r="CM108" s="79">
        <v>134937.68</v>
      </c>
      <c r="CN108" s="79">
        <v>0</v>
      </c>
      <c r="CO108" s="115">
        <f>'[8]FY20 Initial Budget Allocat (2)'!CO108/'FY20 Initial Budget Allocat FTE'!CO$121</f>
        <v>0</v>
      </c>
      <c r="CP108" s="79">
        <v>0</v>
      </c>
      <c r="CQ108" s="79">
        <v>17552.996108949417</v>
      </c>
      <c r="CR108" s="79">
        <v>0</v>
      </c>
      <c r="CS108" s="79">
        <v>27663.547169811322</v>
      </c>
      <c r="CT108" s="115">
        <f>'[8]FY20 Initial Budget Allocat (2)'!CT108/'FY20 Initial Budget Allocat FTE'!CT$121</f>
        <v>0</v>
      </c>
      <c r="CU108" s="115">
        <f>'[8]FY20 Initial Budget Allocat (2)'!CU108/'FY20 Initial Budget Allocat FTE'!CU$121</f>
        <v>0</v>
      </c>
      <c r="CV108" s="79"/>
      <c r="CW108" s="79">
        <v>0</v>
      </c>
      <c r="CX108" s="115">
        <f>'[8]FY20 Initial Budget Allocat (2)'!CX108/'FY20 Initial Budget Allocat FTE'!CX$121</f>
        <v>0</v>
      </c>
      <c r="CY108" s="79">
        <v>0</v>
      </c>
      <c r="CZ108" s="79">
        <v>0</v>
      </c>
      <c r="DA108" s="79">
        <v>50000</v>
      </c>
      <c r="DB108" s="79">
        <v>91750.9860182337</v>
      </c>
      <c r="DC108" s="82">
        <v>0</v>
      </c>
      <c r="DD108" s="79">
        <v>29019.214285714286</v>
      </c>
      <c r="DE108" s="79"/>
      <c r="DF108" s="79">
        <v>38850</v>
      </c>
      <c r="DG108" s="79">
        <v>0</v>
      </c>
      <c r="DH108" s="83">
        <v>0</v>
      </c>
      <c r="DI108" s="79">
        <v>12777.046081852837</v>
      </c>
      <c r="DJ108" s="79">
        <v>6388523.0409264173</v>
      </c>
      <c r="DK108" s="84">
        <v>-9.2641729861497879E-4</v>
      </c>
      <c r="DL108" s="84">
        <v>79215.3</v>
      </c>
      <c r="DM108" s="84">
        <f t="shared" si="6"/>
        <v>6467738.3399999999</v>
      </c>
      <c r="DN108" s="116">
        <f t="shared" si="7"/>
        <v>8</v>
      </c>
      <c r="DO108" s="116">
        <f t="shared" si="8"/>
        <v>8</v>
      </c>
      <c r="DP108" s="116">
        <f t="shared" si="9"/>
        <v>16.000000000000004</v>
      </c>
      <c r="DQ108" s="116">
        <f t="shared" si="10"/>
        <v>9.3636363636363633</v>
      </c>
      <c r="DR108" s="116">
        <f t="shared" si="11"/>
        <v>4</v>
      </c>
    </row>
    <row r="109" spans="1:122" x14ac:dyDescent="0.25">
      <c r="A109" s="76">
        <v>330</v>
      </c>
      <c r="B109" s="76" t="s">
        <v>250</v>
      </c>
      <c r="C109" s="77" t="s">
        <v>135</v>
      </c>
      <c r="D109" s="41">
        <v>6</v>
      </c>
      <c r="E109" s="78">
        <v>516</v>
      </c>
      <c r="F109" s="78">
        <v>206.64367816091954</v>
      </c>
      <c r="G109" s="115">
        <f>'[8]FY20 Initial Budget Allocat (2)'!G109/'FY20 Initial Budget Allocat FTE'!G$121</f>
        <v>1</v>
      </c>
      <c r="H109" s="115">
        <f>'[8]FY20 Initial Budget Allocat (2)'!H109/'FY20 Initial Budget Allocat FTE'!H$121</f>
        <v>1</v>
      </c>
      <c r="I109" s="115">
        <f>'[8]FY20 Initial Budget Allocat (2)'!I109/'FY20 Initial Budget Allocat FTE'!I$121</f>
        <v>1.3</v>
      </c>
      <c r="J109" s="115">
        <f>'[8]FY20 Initial Budget Allocat (2)'!J109/'FY20 Initial Budget Allocat FTE'!J$121</f>
        <v>0</v>
      </c>
      <c r="K109" s="115">
        <f>'[8]FY20 Initial Budget Allocat (2)'!K109/'FY20 Initial Budget Allocat FTE'!K$121</f>
        <v>0</v>
      </c>
      <c r="L109" s="115">
        <f>'[8]FY20 Initial Budget Allocat (2)'!L109/'FY20 Initial Budget Allocat FTE'!L$121</f>
        <v>1</v>
      </c>
      <c r="M109" s="115">
        <f>'[8]FY20 Initial Budget Allocat (2)'!M109/'FY20 Initial Budget Allocat FTE'!M$121</f>
        <v>1</v>
      </c>
      <c r="N109" s="115">
        <f>'[8]FY20 Initial Budget Allocat (2)'!N109/'FY20 Initial Budget Allocat FTE'!N$121</f>
        <v>1.3</v>
      </c>
      <c r="O109" s="115">
        <f>'[8]FY20 Initial Budget Allocat (2)'!O109/'FY20 Initial Budget Allocat FTE'!O$121</f>
        <v>0</v>
      </c>
      <c r="P109" s="115">
        <f>'[8]FY20 Initial Budget Allocat (2)'!P109/'FY20 Initial Budget Allocat FTE'!P$121</f>
        <v>0</v>
      </c>
      <c r="Q109" s="115">
        <f>'[8]FY20 Initial Budget Allocat (2)'!Q109/'FY20 Initial Budget Allocat FTE'!Q$121</f>
        <v>0</v>
      </c>
      <c r="R109" s="115">
        <f>'[8]FY20 Initial Budget Allocat (2)'!R109/'FY20 Initial Budget Allocat FTE'!R$121</f>
        <v>1</v>
      </c>
      <c r="S109" s="115">
        <f>'[8]FY20 Initial Budget Allocat (2)'!S109/'FY20 Initial Budget Allocat FTE'!S$121</f>
        <v>1</v>
      </c>
      <c r="T109" s="115">
        <f>'[8]FY20 Initial Budget Allocat (2)'!T109/'FY20 Initial Budget Allocat FTE'!T$121</f>
        <v>3</v>
      </c>
      <c r="U109" s="115">
        <f>'[8]FY20 Initial Budget Allocat (2)'!U109/'FY20 Initial Budget Allocat FTE'!U$121</f>
        <v>1</v>
      </c>
      <c r="V109" s="115">
        <f>'[8]FY20 Initial Budget Allocat (2)'!V109/'FY20 Initial Budget Allocat FTE'!V$121</f>
        <v>1</v>
      </c>
      <c r="W109" s="115">
        <f>'[8]FY20 Initial Budget Allocat (2)'!W109/'FY20 Initial Budget Allocat FTE'!W$121</f>
        <v>1</v>
      </c>
      <c r="X109" s="115">
        <f>'[8]FY20 Initial Budget Allocat (2)'!X109/'FY20 Initial Budget Allocat FTE'!X$121</f>
        <v>1</v>
      </c>
      <c r="Y109" s="115">
        <f>'[8]FY20 Initial Budget Allocat (2)'!Y109/'FY20 Initial Budget Allocat FTE'!Y$121</f>
        <v>1.5000000000000002</v>
      </c>
      <c r="Z109" s="115">
        <f>'[8]FY20 Initial Budget Allocat (2)'!Z109/'FY20 Initial Budget Allocat FTE'!Z$121</f>
        <v>0</v>
      </c>
      <c r="AA109" s="115">
        <f>'[8]FY20 Initial Budget Allocat (2)'!AA109/'FY20 Initial Budget Allocat FTE'!AA$121</f>
        <v>4</v>
      </c>
      <c r="AB109" s="115">
        <f>'[8]FY20 Initial Budget Allocat (2)'!AB109/'FY20 Initial Budget Allocat FTE'!AB$121</f>
        <v>4</v>
      </c>
      <c r="AC109" s="115">
        <f>'[8]FY20 Initial Budget Allocat (2)'!AC109/'FY20 Initial Budget Allocat FTE'!AC$121</f>
        <v>0</v>
      </c>
      <c r="AD109" s="115">
        <f>'[8]FY20 Initial Budget Allocat (2)'!AD109/'FY20 Initial Budget Allocat FTE'!AD$121</f>
        <v>0</v>
      </c>
      <c r="AE109" s="115">
        <f>'[8]FY20 Initial Budget Allocat (2)'!AE109/'FY20 Initial Budget Allocat FTE'!AE$121</f>
        <v>4</v>
      </c>
      <c r="AF109" s="115">
        <f>'[8]FY20 Initial Budget Allocat (2)'!AF109/'FY20 Initial Budget Allocat FTE'!AF$121</f>
        <v>4</v>
      </c>
      <c r="AG109" s="115">
        <f>'[8]FY20 Initial Budget Allocat (2)'!AG109/'FY20 Initial Budget Allocat FTE'!AG$121</f>
        <v>4</v>
      </c>
      <c r="AH109" s="115">
        <f>'[8]FY20 Initial Budget Allocat (2)'!AH109/'FY20 Initial Budget Allocat FTE'!AH$121</f>
        <v>4</v>
      </c>
      <c r="AI109" s="115">
        <f>'[8]FY20 Initial Budget Allocat (2)'!AI109/'FY20 Initial Budget Allocat FTE'!AI$121</f>
        <v>4</v>
      </c>
      <c r="AJ109" s="115">
        <f>'[8]FY20 Initial Budget Allocat (2)'!AJ109/'FY20 Initial Budget Allocat FTE'!AJ$121</f>
        <v>3.0000000000000004</v>
      </c>
      <c r="AK109" s="115">
        <f>'[8]FY20 Initial Budget Allocat (2)'!AK109/'FY20 Initial Budget Allocat FTE'!AK$121</f>
        <v>3.0000000000000004</v>
      </c>
      <c r="AL109" s="115">
        <f>'[8]FY20 Initial Budget Allocat (2)'!AL109/'FY20 Initial Budget Allocat FTE'!AL$121</f>
        <v>3.0000000000000004</v>
      </c>
      <c r="AM109" s="115">
        <f>'[8]FY20 Initial Budget Allocat (2)'!AM109/'FY20 Initial Budget Allocat FTE'!AM$121</f>
        <v>2</v>
      </c>
      <c r="AN109" s="115">
        <f>'[8]FY20 Initial Budget Allocat (2)'!AN109/'FY20 Initial Budget Allocat FTE'!AN$121</f>
        <v>0</v>
      </c>
      <c r="AO109" s="115">
        <f>'[8]FY20 Initial Budget Allocat (2)'!AO109/'FY20 Initial Budget Allocat FTE'!AO$121</f>
        <v>0</v>
      </c>
      <c r="AP109" s="115">
        <f>'[8]FY20 Initial Budget Allocat (2)'!AP109/'FY20 Initial Budget Allocat FTE'!AP$121</f>
        <v>0</v>
      </c>
      <c r="AQ109" s="115">
        <f>'[8]FY20 Initial Budget Allocat (2)'!AQ109/'FY20 Initial Budget Allocat FTE'!AQ$121</f>
        <v>0</v>
      </c>
      <c r="AR109" s="115">
        <f>'[8]FY20 Initial Budget Allocat (2)'!AR109/'FY20 Initial Budget Allocat FTE'!AR$121</f>
        <v>0</v>
      </c>
      <c r="AS109" s="115">
        <f>'[8]FY20 Initial Budget Allocat (2)'!AS109/'FY20 Initial Budget Allocat FTE'!AS$121</f>
        <v>0</v>
      </c>
      <c r="AT109" s="115">
        <f>'[8]FY20 Initial Budget Allocat (2)'!AT109/'FY20 Initial Budget Allocat FTE'!AT$121</f>
        <v>0</v>
      </c>
      <c r="AU109" s="115">
        <f>'[8]FY20 Initial Budget Allocat (2)'!AU109/'FY20 Initial Budget Allocat FTE'!AU$121</f>
        <v>0</v>
      </c>
      <c r="AV109" s="115">
        <f>'[8]FY20 Initial Budget Allocat (2)'!AV109/'FY20 Initial Budget Allocat FTE'!AV$121</f>
        <v>0</v>
      </c>
      <c r="AW109" s="115">
        <f>'[8]FY20 Initial Budget Allocat (2)'!AW109/'FY20 Initial Budget Allocat FTE'!AW$121</f>
        <v>0</v>
      </c>
      <c r="AX109" s="115">
        <f>'[8]FY20 Initial Budget Allocat (2)'!AX109/'FY20 Initial Budget Allocat FTE'!AX$121</f>
        <v>1</v>
      </c>
      <c r="AY109" s="115">
        <f>'[8]FY20 Initial Budget Allocat (2)'!AY109/'FY20 Initial Budget Allocat FTE'!AY$121</f>
        <v>1</v>
      </c>
      <c r="AZ109" s="115">
        <f>'[8]FY20 Initial Budget Allocat (2)'!AZ109/'FY20 Initial Budget Allocat FTE'!AZ$121</f>
        <v>8</v>
      </c>
      <c r="BA109" s="115">
        <f>'[8]FY20 Initial Budget Allocat (2)'!BA109/'FY20 Initial Budget Allocat FTE'!BA$121</f>
        <v>9</v>
      </c>
      <c r="BB109" s="115">
        <f>'[8]FY20 Initial Budget Allocat (2)'!BB109/'FY20 Initial Budget Allocat FTE'!BB$121</f>
        <v>0</v>
      </c>
      <c r="BC109" s="115">
        <f>'[8]FY20 Initial Budget Allocat (2)'!BC109/'FY20 Initial Budget Allocat FTE'!BC$121</f>
        <v>1</v>
      </c>
      <c r="BD109" s="115">
        <f>'[8]FY20 Initial Budget Allocat (2)'!BD109/'FY20 Initial Budget Allocat FTE'!BD$121</f>
        <v>1</v>
      </c>
      <c r="BE109" s="115">
        <f>'[8]FY20 Initial Budget Allocat (2)'!BE109/'FY20 Initial Budget Allocat FTE'!BE$121</f>
        <v>0</v>
      </c>
      <c r="BF109" s="115">
        <f>'[8]FY20 Initial Budget Allocat (2)'!BF109/'FY20 Initial Budget Allocat FTE'!BF$121</f>
        <v>0</v>
      </c>
      <c r="BG109" s="115">
        <f>'[8]FY20 Initial Budget Allocat (2)'!BG109/'FY20 Initial Budget Allocat FTE'!BG$121</f>
        <v>2.1251921149348481</v>
      </c>
      <c r="BH109" s="115">
        <f>'[8]FY20 Initial Budget Allocat (2)'!BH109/'FY20 Initial Budget Allocat FTE'!BH$121</f>
        <v>5</v>
      </c>
      <c r="BI109" s="115">
        <f>'[8]FY20 Initial Budget Allocat (2)'!BI109/'FY20 Initial Budget Allocat FTE'!BI$121</f>
        <v>0</v>
      </c>
      <c r="BJ109" s="79"/>
      <c r="BK109" s="79">
        <v>0</v>
      </c>
      <c r="BL109" s="79">
        <v>17208.599999999999</v>
      </c>
      <c r="BM109" s="79">
        <v>249579.29</v>
      </c>
      <c r="BN109" s="79">
        <v>3971.45</v>
      </c>
      <c r="BO109" s="79">
        <v>0</v>
      </c>
      <c r="BP109" s="115">
        <f>'[8]FY20 Initial Budget Allocat (2)'!BP109/'FY20 Initial Budget Allocat FTE'!BP$121</f>
        <v>0</v>
      </c>
      <c r="BQ109" s="115">
        <f>'[8]FY20 Initial Budget Allocat (2)'!BQ109/'FY20 Initial Budget Allocat FTE'!BQ$121</f>
        <v>0</v>
      </c>
      <c r="BR109" s="115">
        <f>'[8]FY20 Initial Budget Allocat (2)'!BR109/'FY20 Initial Budget Allocat FTE'!BR$121</f>
        <v>0</v>
      </c>
      <c r="BS109" s="115">
        <f>'[8]FY20 Initial Budget Allocat (2)'!BS109/'FY20 Initial Budget Allocat FTE'!BS$121</f>
        <v>0</v>
      </c>
      <c r="BT109" s="115">
        <f>'[8]FY20 Initial Budget Allocat (2)'!BT109/'FY20 Initial Budget Allocat FTE'!BT$121</f>
        <v>0</v>
      </c>
      <c r="BU109" s="115">
        <f>'[8]FY20 Initial Budget Allocat (2)'!BU109/'FY20 Initial Budget Allocat FTE'!BU$121</f>
        <v>0</v>
      </c>
      <c r="BV109" s="115">
        <f>'[8]FY20 Initial Budget Allocat (2)'!BV109/'FY20 Initial Budget Allocat FTE'!BV$121</f>
        <v>0</v>
      </c>
      <c r="BW109" s="80">
        <v>0</v>
      </c>
      <c r="BX109" s="80">
        <v>0</v>
      </c>
      <c r="BY109" s="80">
        <v>0</v>
      </c>
      <c r="BZ109" s="80">
        <v>0</v>
      </c>
      <c r="CA109" s="115">
        <f>'[8]FY20 Initial Budget Allocat (2)'!CA109/'FY20 Initial Budget Allocat FTE'!CA$121</f>
        <v>0</v>
      </c>
      <c r="CB109" s="115">
        <f>'[8]FY20 Initial Budget Allocat (2)'!CB109/'FY20 Initial Budget Allocat FTE'!CB$121</f>
        <v>0</v>
      </c>
      <c r="CC109" s="80">
        <v>0</v>
      </c>
      <c r="CD109" s="115">
        <f>'[8]FY20 Initial Budget Allocat (2)'!CD109/'FY20 Initial Budget Allocat FTE'!CD$121</f>
        <v>0</v>
      </c>
      <c r="CE109" s="115">
        <f>'[8]FY20 Initial Budget Allocat (2)'!CE109/'FY20 Initial Budget Allocat FTE'!CE$121</f>
        <v>0</v>
      </c>
      <c r="CF109" s="115">
        <f>'[8]FY20 Initial Budget Allocat (2)'!CF109/'FY20 Initial Budget Allocat FTE'!CF$121</f>
        <v>0</v>
      </c>
      <c r="CG109" s="115">
        <f>'[8]FY20 Initial Budget Allocat (2)'!CG109/'FY20 Initial Budget Allocat FTE'!CG$121</f>
        <v>0</v>
      </c>
      <c r="CH109" s="115">
        <f>'[8]FY20 Initial Budget Allocat (2)'!CH109/'FY20 Initial Budget Allocat FTE'!CH$121</f>
        <v>0</v>
      </c>
      <c r="CI109" s="115">
        <f>'[8]FY20 Initial Budget Allocat (2)'!CI109/'FY20 Initial Budget Allocat FTE'!CI$121</f>
        <v>0</v>
      </c>
      <c r="CJ109" s="115">
        <f>'[8]FY20 Initial Budget Allocat (2)'!CJ109/'FY20 Initial Budget Allocat FTE'!CJ$121</f>
        <v>0</v>
      </c>
      <c r="CK109" s="79">
        <v>0</v>
      </c>
      <c r="CL109" s="79">
        <v>0</v>
      </c>
      <c r="CM109" s="79">
        <v>108165.6</v>
      </c>
      <c r="CN109" s="79">
        <v>0</v>
      </c>
      <c r="CO109" s="115">
        <f>'[8]FY20 Initial Budget Allocat (2)'!CO109/'FY20 Initial Budget Allocat FTE'!CO$121</f>
        <v>0</v>
      </c>
      <c r="CP109" s="79">
        <v>0</v>
      </c>
      <c r="CQ109" s="79">
        <v>4132.8735632183907</v>
      </c>
      <c r="CR109" s="79">
        <v>0</v>
      </c>
      <c r="CS109" s="79">
        <v>27053.829787234041</v>
      </c>
      <c r="CT109" s="115">
        <f>'[8]FY20 Initial Budget Allocat (2)'!CT109/'FY20 Initial Budget Allocat FTE'!CT$121</f>
        <v>0</v>
      </c>
      <c r="CU109" s="115">
        <f>'[8]FY20 Initial Budget Allocat (2)'!CU109/'FY20 Initial Budget Allocat FTE'!CU$121</f>
        <v>0</v>
      </c>
      <c r="CV109" s="79"/>
      <c r="CW109" s="79">
        <v>0</v>
      </c>
      <c r="CX109" s="115">
        <f>'[8]FY20 Initial Budget Allocat (2)'!CX109/'FY20 Initial Budget Allocat FTE'!CX$121</f>
        <v>0</v>
      </c>
      <c r="CY109" s="79">
        <v>0</v>
      </c>
      <c r="CZ109" s="79">
        <v>0</v>
      </c>
      <c r="DA109" s="79">
        <v>51600</v>
      </c>
      <c r="DB109" s="79">
        <v>104790.6770638326</v>
      </c>
      <c r="DC109" s="82">
        <v>0</v>
      </c>
      <c r="DD109" s="79">
        <v>0</v>
      </c>
      <c r="DE109" s="79"/>
      <c r="DF109" s="79">
        <v>20250</v>
      </c>
      <c r="DG109" s="79">
        <v>0</v>
      </c>
      <c r="DH109" s="83">
        <v>0</v>
      </c>
      <c r="DI109" s="79">
        <v>13829.983384190693</v>
      </c>
      <c r="DJ109" s="79">
        <v>7136271.4262423981</v>
      </c>
      <c r="DK109" s="84">
        <v>3.7576016038656235E-3</v>
      </c>
      <c r="DL109" s="84">
        <v>0</v>
      </c>
      <c r="DM109" s="84">
        <f t="shared" si="6"/>
        <v>7136271.4299999997</v>
      </c>
      <c r="DN109" s="116">
        <f t="shared" si="7"/>
        <v>12</v>
      </c>
      <c r="DO109" s="116">
        <f t="shared" si="8"/>
        <v>12</v>
      </c>
      <c r="DP109" s="116">
        <f t="shared" si="9"/>
        <v>15</v>
      </c>
      <c r="DQ109" s="116">
        <f t="shared" si="10"/>
        <v>11</v>
      </c>
      <c r="DR109" s="116">
        <f t="shared" si="11"/>
        <v>9</v>
      </c>
    </row>
    <row r="110" spans="1:122" x14ac:dyDescent="0.25">
      <c r="A110" s="76">
        <v>331</v>
      </c>
      <c r="B110" s="76" t="s">
        <v>251</v>
      </c>
      <c r="C110" s="77" t="s">
        <v>135</v>
      </c>
      <c r="D110" s="41">
        <v>6</v>
      </c>
      <c r="E110" s="78">
        <v>315</v>
      </c>
      <c r="F110" s="78">
        <v>84</v>
      </c>
      <c r="G110" s="115">
        <f>'[8]FY20 Initial Budget Allocat (2)'!G110/'FY20 Initial Budget Allocat FTE'!G$121</f>
        <v>1</v>
      </c>
      <c r="H110" s="115">
        <f>'[8]FY20 Initial Budget Allocat (2)'!H110/'FY20 Initial Budget Allocat FTE'!H$121</f>
        <v>1</v>
      </c>
      <c r="I110" s="115">
        <f>'[8]FY20 Initial Budget Allocat (2)'!I110/'FY20 Initial Budget Allocat FTE'!I$121</f>
        <v>0.8</v>
      </c>
      <c r="J110" s="115">
        <f>'[8]FY20 Initial Budget Allocat (2)'!J110/'FY20 Initial Budget Allocat FTE'!J$121</f>
        <v>0</v>
      </c>
      <c r="K110" s="115">
        <f>'[8]FY20 Initial Budget Allocat (2)'!K110/'FY20 Initial Budget Allocat FTE'!K$121</f>
        <v>0</v>
      </c>
      <c r="L110" s="115">
        <f>'[8]FY20 Initial Budget Allocat (2)'!L110/'FY20 Initial Budget Allocat FTE'!L$121</f>
        <v>1</v>
      </c>
      <c r="M110" s="115">
        <f>'[8]FY20 Initial Budget Allocat (2)'!M110/'FY20 Initial Budget Allocat FTE'!M$121</f>
        <v>1</v>
      </c>
      <c r="N110" s="115">
        <f>'[8]FY20 Initial Budget Allocat (2)'!N110/'FY20 Initial Budget Allocat FTE'!N$121</f>
        <v>0</v>
      </c>
      <c r="O110" s="115">
        <f>'[8]FY20 Initial Budget Allocat (2)'!O110/'FY20 Initial Budget Allocat FTE'!O$121</f>
        <v>0</v>
      </c>
      <c r="P110" s="115">
        <f>'[8]FY20 Initial Budget Allocat (2)'!P110/'FY20 Initial Budget Allocat FTE'!P$121</f>
        <v>0</v>
      </c>
      <c r="Q110" s="115">
        <f>'[8]FY20 Initial Budget Allocat (2)'!Q110/'FY20 Initial Budget Allocat FTE'!Q$121</f>
        <v>0</v>
      </c>
      <c r="R110" s="115">
        <f>'[8]FY20 Initial Budget Allocat (2)'!R110/'FY20 Initial Budget Allocat FTE'!R$121</f>
        <v>1</v>
      </c>
      <c r="S110" s="115">
        <f>'[8]FY20 Initial Budget Allocat (2)'!S110/'FY20 Initial Budget Allocat FTE'!S$121</f>
        <v>1</v>
      </c>
      <c r="T110" s="115">
        <f>'[8]FY20 Initial Budget Allocat (2)'!T110/'FY20 Initial Budget Allocat FTE'!T$121</f>
        <v>2</v>
      </c>
      <c r="U110" s="115">
        <f>'[8]FY20 Initial Budget Allocat (2)'!U110/'FY20 Initial Budget Allocat FTE'!U$121</f>
        <v>1</v>
      </c>
      <c r="V110" s="115">
        <f>'[8]FY20 Initial Budget Allocat (2)'!V110/'FY20 Initial Budget Allocat FTE'!V$121</f>
        <v>1</v>
      </c>
      <c r="W110" s="115">
        <f>'[8]FY20 Initial Budget Allocat (2)'!W110/'FY20 Initial Budget Allocat FTE'!W$121</f>
        <v>1</v>
      </c>
      <c r="X110" s="115">
        <f>'[8]FY20 Initial Budget Allocat (2)'!X110/'FY20 Initial Budget Allocat FTE'!X$121</f>
        <v>1</v>
      </c>
      <c r="Y110" s="115">
        <f>'[8]FY20 Initial Budget Allocat (2)'!Y110/'FY20 Initial Budget Allocat FTE'!Y$121</f>
        <v>0</v>
      </c>
      <c r="Z110" s="115">
        <f>'[8]FY20 Initial Budget Allocat (2)'!Z110/'FY20 Initial Budget Allocat FTE'!Z$121</f>
        <v>0</v>
      </c>
      <c r="AA110" s="115">
        <f>'[8]FY20 Initial Budget Allocat (2)'!AA110/'FY20 Initial Budget Allocat FTE'!AA$121</f>
        <v>2</v>
      </c>
      <c r="AB110" s="115">
        <f>'[8]FY20 Initial Budget Allocat (2)'!AB110/'FY20 Initial Budget Allocat FTE'!AB$121</f>
        <v>2</v>
      </c>
      <c r="AC110" s="115">
        <f>'[8]FY20 Initial Budget Allocat (2)'!AC110/'FY20 Initial Budget Allocat FTE'!AC$121</f>
        <v>0</v>
      </c>
      <c r="AD110" s="115">
        <f>'[8]FY20 Initial Budget Allocat (2)'!AD110/'FY20 Initial Budget Allocat FTE'!AD$121</f>
        <v>0</v>
      </c>
      <c r="AE110" s="115">
        <f>'[8]FY20 Initial Budget Allocat (2)'!AE110/'FY20 Initial Budget Allocat FTE'!AE$121</f>
        <v>2</v>
      </c>
      <c r="AF110" s="115">
        <f>'[8]FY20 Initial Budget Allocat (2)'!AF110/'FY20 Initial Budget Allocat FTE'!AF$121</f>
        <v>2</v>
      </c>
      <c r="AG110" s="115">
        <f>'[8]FY20 Initial Budget Allocat (2)'!AG110/'FY20 Initial Budget Allocat FTE'!AG$121</f>
        <v>3.0000000000000004</v>
      </c>
      <c r="AH110" s="115">
        <f>'[8]FY20 Initial Budget Allocat (2)'!AH110/'FY20 Initial Budget Allocat FTE'!AH$121</f>
        <v>3</v>
      </c>
      <c r="AI110" s="115">
        <f>'[8]FY20 Initial Budget Allocat (2)'!AI110/'FY20 Initial Budget Allocat FTE'!AI$121</f>
        <v>3.0000000000000004</v>
      </c>
      <c r="AJ110" s="115">
        <f>'[8]FY20 Initial Budget Allocat (2)'!AJ110/'FY20 Initial Budget Allocat FTE'!AJ$121</f>
        <v>2</v>
      </c>
      <c r="AK110" s="115">
        <f>'[8]FY20 Initial Budget Allocat (2)'!AK110/'FY20 Initial Budget Allocat FTE'!AK$121</f>
        <v>3.0000000000000004</v>
      </c>
      <c r="AL110" s="115">
        <f>'[8]FY20 Initial Budget Allocat (2)'!AL110/'FY20 Initial Budget Allocat FTE'!AL$121</f>
        <v>2</v>
      </c>
      <c r="AM110" s="115">
        <f>'[8]FY20 Initial Budget Allocat (2)'!AM110/'FY20 Initial Budget Allocat FTE'!AM$121</f>
        <v>0</v>
      </c>
      <c r="AN110" s="115">
        <f>'[8]FY20 Initial Budget Allocat (2)'!AN110/'FY20 Initial Budget Allocat FTE'!AN$121</f>
        <v>0</v>
      </c>
      <c r="AO110" s="115">
        <f>'[8]FY20 Initial Budget Allocat (2)'!AO110/'FY20 Initial Budget Allocat FTE'!AO$121</f>
        <v>0</v>
      </c>
      <c r="AP110" s="115">
        <f>'[8]FY20 Initial Budget Allocat (2)'!AP110/'FY20 Initial Budget Allocat FTE'!AP$121</f>
        <v>0</v>
      </c>
      <c r="AQ110" s="115">
        <f>'[8]FY20 Initial Budget Allocat (2)'!AQ110/'FY20 Initial Budget Allocat FTE'!AQ$121</f>
        <v>0</v>
      </c>
      <c r="AR110" s="115">
        <f>'[8]FY20 Initial Budget Allocat (2)'!AR110/'FY20 Initial Budget Allocat FTE'!AR$121</f>
        <v>0</v>
      </c>
      <c r="AS110" s="115">
        <f>'[8]FY20 Initial Budget Allocat (2)'!AS110/'FY20 Initial Budget Allocat FTE'!AS$121</f>
        <v>0</v>
      </c>
      <c r="AT110" s="115">
        <f>'[8]FY20 Initial Budget Allocat (2)'!AT110/'FY20 Initial Budget Allocat FTE'!AT$121</f>
        <v>0</v>
      </c>
      <c r="AU110" s="115">
        <f>'[8]FY20 Initial Budget Allocat (2)'!AU110/'FY20 Initial Budget Allocat FTE'!AU$121</f>
        <v>0</v>
      </c>
      <c r="AV110" s="115">
        <f>'[8]FY20 Initial Budget Allocat (2)'!AV110/'FY20 Initial Budget Allocat FTE'!AV$121</f>
        <v>0</v>
      </c>
      <c r="AW110" s="115">
        <f>'[8]FY20 Initial Budget Allocat (2)'!AW110/'FY20 Initial Budget Allocat FTE'!AW$121</f>
        <v>0</v>
      </c>
      <c r="AX110" s="115">
        <f>'[8]FY20 Initial Budget Allocat (2)'!AX110/'FY20 Initial Budget Allocat FTE'!AX$121</f>
        <v>1</v>
      </c>
      <c r="AY110" s="115">
        <f>'[8]FY20 Initial Budget Allocat (2)'!AY110/'FY20 Initial Budget Allocat FTE'!AY$121</f>
        <v>1</v>
      </c>
      <c r="AZ110" s="115">
        <f>'[8]FY20 Initial Budget Allocat (2)'!AZ110/'FY20 Initial Budget Allocat FTE'!AZ$121</f>
        <v>4</v>
      </c>
      <c r="BA110" s="115">
        <f>'[8]FY20 Initial Budget Allocat (2)'!BA110/'FY20 Initial Budget Allocat FTE'!BA$121</f>
        <v>1</v>
      </c>
      <c r="BB110" s="115">
        <f>'[8]FY20 Initial Budget Allocat (2)'!BB110/'FY20 Initial Budget Allocat FTE'!BB$121</f>
        <v>1</v>
      </c>
      <c r="BC110" s="115">
        <f>'[8]FY20 Initial Budget Allocat (2)'!BC110/'FY20 Initial Budget Allocat FTE'!BC$121</f>
        <v>0</v>
      </c>
      <c r="BD110" s="115">
        <f>'[8]FY20 Initial Budget Allocat (2)'!BD110/'FY20 Initial Budget Allocat FTE'!BD$121</f>
        <v>0.18181818181818182</v>
      </c>
      <c r="BE110" s="115">
        <f>'[8]FY20 Initial Budget Allocat (2)'!BE110/'FY20 Initial Budget Allocat FTE'!BE$121</f>
        <v>0</v>
      </c>
      <c r="BF110" s="115">
        <f>'[8]FY20 Initial Budget Allocat (2)'!BF110/'FY20 Initial Budget Allocat FTE'!BF$121</f>
        <v>0</v>
      </c>
      <c r="BG110" s="115">
        <f>'[8]FY20 Initial Budget Allocat (2)'!BG110/'FY20 Initial Budget Allocat FTE'!BG$121</f>
        <v>0</v>
      </c>
      <c r="BH110" s="115">
        <f>'[8]FY20 Initial Budget Allocat (2)'!BH110/'FY20 Initial Budget Allocat FTE'!BH$121</f>
        <v>0</v>
      </c>
      <c r="BI110" s="115">
        <f>'[8]FY20 Initial Budget Allocat (2)'!BI110/'FY20 Initial Budget Allocat FTE'!BI$121</f>
        <v>0</v>
      </c>
      <c r="BJ110" s="79"/>
      <c r="BK110" s="79">
        <v>0</v>
      </c>
      <c r="BL110" s="79"/>
      <c r="BM110" s="79">
        <v>39174.06</v>
      </c>
      <c r="BN110" s="79">
        <v>623.36</v>
      </c>
      <c r="BO110" s="79">
        <v>5375</v>
      </c>
      <c r="BP110" s="115">
        <f>'[8]FY20 Initial Budget Allocat (2)'!BP110/'FY20 Initial Budget Allocat FTE'!BP$121</f>
        <v>0</v>
      </c>
      <c r="BQ110" s="115">
        <f>'[8]FY20 Initial Budget Allocat (2)'!BQ110/'FY20 Initial Budget Allocat FTE'!BQ$121</f>
        <v>0</v>
      </c>
      <c r="BR110" s="115">
        <f>'[8]FY20 Initial Budget Allocat (2)'!BR110/'FY20 Initial Budget Allocat FTE'!BR$121</f>
        <v>0</v>
      </c>
      <c r="BS110" s="115">
        <f>'[8]FY20 Initial Budget Allocat (2)'!BS110/'FY20 Initial Budget Allocat FTE'!BS$121</f>
        <v>0</v>
      </c>
      <c r="BT110" s="115">
        <f>'[8]FY20 Initial Budget Allocat (2)'!BT110/'FY20 Initial Budget Allocat FTE'!BT$121</f>
        <v>0</v>
      </c>
      <c r="BU110" s="115">
        <f>'[8]FY20 Initial Budget Allocat (2)'!BU110/'FY20 Initial Budget Allocat FTE'!BU$121</f>
        <v>0</v>
      </c>
      <c r="BV110" s="115">
        <f>'[8]FY20 Initial Budget Allocat (2)'!BV110/'FY20 Initial Budget Allocat FTE'!BV$121</f>
        <v>0</v>
      </c>
      <c r="BW110" s="80">
        <v>0</v>
      </c>
      <c r="BX110" s="80">
        <v>0</v>
      </c>
      <c r="BY110" s="80">
        <v>0</v>
      </c>
      <c r="BZ110" s="80">
        <v>0</v>
      </c>
      <c r="CA110" s="115">
        <f>'[8]FY20 Initial Budget Allocat (2)'!CA110/'FY20 Initial Budget Allocat FTE'!CA$121</f>
        <v>0</v>
      </c>
      <c r="CB110" s="115">
        <f>'[8]FY20 Initial Budget Allocat (2)'!CB110/'FY20 Initial Budget Allocat FTE'!CB$121</f>
        <v>0</v>
      </c>
      <c r="CC110" s="80">
        <v>0</v>
      </c>
      <c r="CD110" s="115">
        <f>'[8]FY20 Initial Budget Allocat (2)'!CD110/'FY20 Initial Budget Allocat FTE'!CD$121</f>
        <v>0</v>
      </c>
      <c r="CE110" s="115">
        <f>'[8]FY20 Initial Budget Allocat (2)'!CE110/'FY20 Initial Budget Allocat FTE'!CE$121</f>
        <v>0</v>
      </c>
      <c r="CF110" s="115">
        <f>'[8]FY20 Initial Budget Allocat (2)'!CF110/'FY20 Initial Budget Allocat FTE'!CF$121</f>
        <v>0</v>
      </c>
      <c r="CG110" s="115">
        <f>'[8]FY20 Initial Budget Allocat (2)'!CG110/'FY20 Initial Budget Allocat FTE'!CG$121</f>
        <v>0</v>
      </c>
      <c r="CH110" s="115">
        <f>'[8]FY20 Initial Budget Allocat (2)'!CH110/'FY20 Initial Budget Allocat FTE'!CH$121</f>
        <v>0</v>
      </c>
      <c r="CI110" s="115">
        <f>'[8]FY20 Initial Budget Allocat (2)'!CI110/'FY20 Initial Budget Allocat FTE'!CI$121</f>
        <v>0</v>
      </c>
      <c r="CJ110" s="115">
        <f>'[8]FY20 Initial Budget Allocat (2)'!CJ110/'FY20 Initial Budget Allocat FTE'!CJ$121</f>
        <v>0</v>
      </c>
      <c r="CK110" s="79">
        <v>0</v>
      </c>
      <c r="CL110" s="79">
        <v>0</v>
      </c>
      <c r="CM110" s="79">
        <v>54082.8</v>
      </c>
      <c r="CN110" s="79">
        <v>0</v>
      </c>
      <c r="CO110" s="115">
        <f>'[8]FY20 Initial Budget Allocat (2)'!CO110/'FY20 Initial Budget Allocat FTE'!CO$121</f>
        <v>0</v>
      </c>
      <c r="CP110" s="79">
        <v>0</v>
      </c>
      <c r="CQ110" s="79">
        <v>1680</v>
      </c>
      <c r="CR110" s="79">
        <v>0</v>
      </c>
      <c r="CS110" s="79">
        <v>18640.7</v>
      </c>
      <c r="CT110" s="115">
        <f>'[8]FY20 Initial Budget Allocat (2)'!CT110/'FY20 Initial Budget Allocat FTE'!CT$121</f>
        <v>0</v>
      </c>
      <c r="CU110" s="115">
        <f>'[8]FY20 Initial Budget Allocat (2)'!CU110/'FY20 Initial Budget Allocat FTE'!CU$121</f>
        <v>0</v>
      </c>
      <c r="CV110" s="79"/>
      <c r="CW110" s="79">
        <v>0</v>
      </c>
      <c r="CX110" s="115">
        <f>'[8]FY20 Initial Budget Allocat (2)'!CX110/'FY20 Initial Budget Allocat FTE'!CX$121</f>
        <v>0</v>
      </c>
      <c r="CY110" s="79">
        <v>0</v>
      </c>
      <c r="CZ110" s="79">
        <v>0</v>
      </c>
      <c r="DA110" s="79">
        <v>31500</v>
      </c>
      <c r="DB110" s="79">
        <v>65150.842339030627</v>
      </c>
      <c r="DC110" s="82">
        <v>0</v>
      </c>
      <c r="DD110" s="79">
        <v>15363.214285714286</v>
      </c>
      <c r="DE110" s="79"/>
      <c r="DF110" s="79">
        <v>850</v>
      </c>
      <c r="DG110" s="79">
        <v>0</v>
      </c>
      <c r="DH110" s="83">
        <v>0</v>
      </c>
      <c r="DI110" s="79">
        <v>13584.368719844035</v>
      </c>
      <c r="DJ110" s="79">
        <v>4279076.1467508702</v>
      </c>
      <c r="DK110" s="84">
        <v>3.2491302117705345E-3</v>
      </c>
      <c r="DL110" s="84">
        <v>0</v>
      </c>
      <c r="DM110" s="84">
        <f t="shared" si="6"/>
        <v>4279076.1500000004</v>
      </c>
      <c r="DN110" s="116">
        <f t="shared" si="7"/>
        <v>7</v>
      </c>
      <c r="DO110" s="116">
        <f t="shared" si="8"/>
        <v>7</v>
      </c>
      <c r="DP110" s="116">
        <f t="shared" si="9"/>
        <v>10</v>
      </c>
      <c r="DQ110" s="116">
        <f t="shared" si="10"/>
        <v>6.1818181818181817</v>
      </c>
      <c r="DR110" s="116">
        <f t="shared" si="11"/>
        <v>1</v>
      </c>
    </row>
    <row r="111" spans="1:122" x14ac:dyDescent="0.25">
      <c r="A111" s="76">
        <v>332</v>
      </c>
      <c r="B111" s="76" t="s">
        <v>252</v>
      </c>
      <c r="C111" s="77" t="s">
        <v>150</v>
      </c>
      <c r="D111" s="41">
        <v>6</v>
      </c>
      <c r="E111" s="78">
        <v>374</v>
      </c>
      <c r="F111" s="78">
        <v>310</v>
      </c>
      <c r="G111" s="115">
        <f>'[8]FY20 Initial Budget Allocat (2)'!G111/'FY20 Initial Budget Allocat FTE'!G$121</f>
        <v>1</v>
      </c>
      <c r="H111" s="115">
        <f>'[8]FY20 Initial Budget Allocat (2)'!H111/'FY20 Initial Budget Allocat FTE'!H$121</f>
        <v>1</v>
      </c>
      <c r="I111" s="115">
        <f>'[8]FY20 Initial Budget Allocat (2)'!I111/'FY20 Initial Budget Allocat FTE'!I$121</f>
        <v>0.3</v>
      </c>
      <c r="J111" s="115">
        <f>'[8]FY20 Initial Budget Allocat (2)'!J111/'FY20 Initial Budget Allocat FTE'!J$121</f>
        <v>1</v>
      </c>
      <c r="K111" s="115">
        <f>'[8]FY20 Initial Budget Allocat (2)'!K111/'FY20 Initial Budget Allocat FTE'!K$121</f>
        <v>0</v>
      </c>
      <c r="L111" s="115">
        <f>'[8]FY20 Initial Budget Allocat (2)'!L111/'FY20 Initial Budget Allocat FTE'!L$121</f>
        <v>1</v>
      </c>
      <c r="M111" s="115">
        <f>'[8]FY20 Initial Budget Allocat (2)'!M111/'FY20 Initial Budget Allocat FTE'!M$121</f>
        <v>1</v>
      </c>
      <c r="N111" s="115">
        <f>'[8]FY20 Initial Budget Allocat (2)'!N111/'FY20 Initial Budget Allocat FTE'!N$121</f>
        <v>0</v>
      </c>
      <c r="O111" s="115">
        <f>'[8]FY20 Initial Budget Allocat (2)'!O111/'FY20 Initial Budget Allocat FTE'!O$121</f>
        <v>0</v>
      </c>
      <c r="P111" s="115">
        <f>'[8]FY20 Initial Budget Allocat (2)'!P111/'FY20 Initial Budget Allocat FTE'!P$121</f>
        <v>0</v>
      </c>
      <c r="Q111" s="115">
        <f>'[8]FY20 Initial Budget Allocat (2)'!Q111/'FY20 Initial Budget Allocat FTE'!Q$121</f>
        <v>0</v>
      </c>
      <c r="R111" s="115">
        <f>'[8]FY20 Initial Budget Allocat (2)'!R111/'FY20 Initial Budget Allocat FTE'!R$121</f>
        <v>1</v>
      </c>
      <c r="S111" s="115">
        <f>'[8]FY20 Initial Budget Allocat (2)'!S111/'FY20 Initial Budget Allocat FTE'!S$121</f>
        <v>1</v>
      </c>
      <c r="T111" s="115">
        <f>'[8]FY20 Initial Budget Allocat (2)'!T111/'FY20 Initial Budget Allocat FTE'!T$121</f>
        <v>3</v>
      </c>
      <c r="U111" s="115">
        <f>'[8]FY20 Initial Budget Allocat (2)'!U111/'FY20 Initial Budget Allocat FTE'!U$121</f>
        <v>1</v>
      </c>
      <c r="V111" s="115">
        <f>'[8]FY20 Initial Budget Allocat (2)'!V111/'FY20 Initial Budget Allocat FTE'!V$121</f>
        <v>1</v>
      </c>
      <c r="W111" s="115">
        <f>'[8]FY20 Initial Budget Allocat (2)'!W111/'FY20 Initial Budget Allocat FTE'!W$121</f>
        <v>1</v>
      </c>
      <c r="X111" s="115">
        <f>'[8]FY20 Initial Budget Allocat (2)'!X111/'FY20 Initial Budget Allocat FTE'!X$121</f>
        <v>1</v>
      </c>
      <c r="Y111" s="115">
        <f>'[8]FY20 Initial Budget Allocat (2)'!Y111/'FY20 Initial Budget Allocat FTE'!Y$121</f>
        <v>0</v>
      </c>
      <c r="Z111" s="115">
        <f>'[8]FY20 Initial Budget Allocat (2)'!Z111/'FY20 Initial Budget Allocat FTE'!Z$121</f>
        <v>0</v>
      </c>
      <c r="AA111" s="115">
        <f>'[8]FY20 Initial Budget Allocat (2)'!AA111/'FY20 Initial Budget Allocat FTE'!AA$121</f>
        <v>2</v>
      </c>
      <c r="AB111" s="115">
        <f>'[8]FY20 Initial Budget Allocat (2)'!AB111/'FY20 Initial Budget Allocat FTE'!AB$121</f>
        <v>2</v>
      </c>
      <c r="AC111" s="115">
        <f>'[8]FY20 Initial Budget Allocat (2)'!AC111/'FY20 Initial Budget Allocat FTE'!AC$121</f>
        <v>0</v>
      </c>
      <c r="AD111" s="115">
        <f>'[8]FY20 Initial Budget Allocat (2)'!AD111/'FY20 Initial Budget Allocat FTE'!AD$121</f>
        <v>0</v>
      </c>
      <c r="AE111" s="115">
        <f>'[8]FY20 Initial Budget Allocat (2)'!AE111/'FY20 Initial Budget Allocat FTE'!AE$121</f>
        <v>2</v>
      </c>
      <c r="AF111" s="115">
        <f>'[8]FY20 Initial Budget Allocat (2)'!AF111/'FY20 Initial Budget Allocat FTE'!AF$121</f>
        <v>2</v>
      </c>
      <c r="AG111" s="115">
        <f>'[8]FY20 Initial Budget Allocat (2)'!AG111/'FY20 Initial Budget Allocat FTE'!AG$121</f>
        <v>3.0000000000000004</v>
      </c>
      <c r="AH111" s="115">
        <f>'[8]FY20 Initial Budget Allocat (2)'!AH111/'FY20 Initial Budget Allocat FTE'!AH$121</f>
        <v>3</v>
      </c>
      <c r="AI111" s="115">
        <f>'[8]FY20 Initial Budget Allocat (2)'!AI111/'FY20 Initial Budget Allocat FTE'!AI$121</f>
        <v>2</v>
      </c>
      <c r="AJ111" s="115">
        <f>'[8]FY20 Initial Budget Allocat (2)'!AJ111/'FY20 Initial Budget Allocat FTE'!AJ$121</f>
        <v>2</v>
      </c>
      <c r="AK111" s="115">
        <f>'[8]FY20 Initial Budget Allocat (2)'!AK111/'FY20 Initial Budget Allocat FTE'!AK$121</f>
        <v>2</v>
      </c>
      <c r="AL111" s="115">
        <f>'[8]FY20 Initial Budget Allocat (2)'!AL111/'FY20 Initial Budget Allocat FTE'!AL$121</f>
        <v>2</v>
      </c>
      <c r="AM111" s="115">
        <f>'[8]FY20 Initial Budget Allocat (2)'!AM111/'FY20 Initial Budget Allocat FTE'!AM$121</f>
        <v>1</v>
      </c>
      <c r="AN111" s="115">
        <f>'[8]FY20 Initial Budget Allocat (2)'!AN111/'FY20 Initial Budget Allocat FTE'!AN$121</f>
        <v>1.5000000000000002</v>
      </c>
      <c r="AO111" s="115">
        <f>'[8]FY20 Initial Budget Allocat (2)'!AO111/'FY20 Initial Budget Allocat FTE'!AO$121</f>
        <v>1.2</v>
      </c>
      <c r="AP111" s="115">
        <f>'[8]FY20 Initial Budget Allocat (2)'!AP111/'FY20 Initial Budget Allocat FTE'!AP$121</f>
        <v>1.1000000000000001</v>
      </c>
      <c r="AQ111" s="115">
        <f>'[8]FY20 Initial Budget Allocat (2)'!AQ111/'FY20 Initial Budget Allocat FTE'!AQ$121</f>
        <v>0</v>
      </c>
      <c r="AR111" s="115">
        <f>'[8]FY20 Initial Budget Allocat (2)'!AR111/'FY20 Initial Budget Allocat FTE'!AR$121</f>
        <v>0</v>
      </c>
      <c r="AS111" s="115">
        <f>'[8]FY20 Initial Budget Allocat (2)'!AS111/'FY20 Initial Budget Allocat FTE'!AS$121</f>
        <v>0</v>
      </c>
      <c r="AT111" s="115">
        <f>'[8]FY20 Initial Budget Allocat (2)'!AT111/'FY20 Initial Budget Allocat FTE'!AT$121</f>
        <v>0</v>
      </c>
      <c r="AU111" s="115">
        <f>'[8]FY20 Initial Budget Allocat (2)'!AU111/'FY20 Initial Budget Allocat FTE'!AU$121</f>
        <v>0</v>
      </c>
      <c r="AV111" s="115">
        <f>'[8]FY20 Initial Budget Allocat (2)'!AV111/'FY20 Initial Budget Allocat FTE'!AV$121</f>
        <v>0</v>
      </c>
      <c r="AW111" s="115">
        <f>'[8]FY20 Initial Budget Allocat (2)'!AW111/'FY20 Initial Budget Allocat FTE'!AW$121</f>
        <v>0</v>
      </c>
      <c r="AX111" s="115">
        <f>'[8]FY20 Initial Budget Allocat (2)'!AX111/'FY20 Initial Budget Allocat FTE'!AX$121</f>
        <v>1</v>
      </c>
      <c r="AY111" s="115">
        <f>'[8]FY20 Initial Budget Allocat (2)'!AY111/'FY20 Initial Budget Allocat FTE'!AY$121</f>
        <v>2</v>
      </c>
      <c r="AZ111" s="115">
        <f>'[8]FY20 Initial Budget Allocat (2)'!AZ111/'FY20 Initial Budget Allocat FTE'!AZ$121</f>
        <v>10</v>
      </c>
      <c r="BA111" s="115">
        <f>'[8]FY20 Initial Budget Allocat (2)'!BA111/'FY20 Initial Budget Allocat FTE'!BA$121</f>
        <v>8</v>
      </c>
      <c r="BB111" s="115">
        <f>'[8]FY20 Initial Budget Allocat (2)'!BB111/'FY20 Initial Budget Allocat FTE'!BB$121</f>
        <v>0</v>
      </c>
      <c r="BC111" s="115">
        <f>'[8]FY20 Initial Budget Allocat (2)'!BC111/'FY20 Initial Budget Allocat FTE'!BC$121</f>
        <v>0</v>
      </c>
      <c r="BD111" s="115">
        <f>'[8]FY20 Initial Budget Allocat (2)'!BD111/'FY20 Initial Budget Allocat FTE'!BD$121</f>
        <v>1</v>
      </c>
      <c r="BE111" s="115">
        <f>'[8]FY20 Initial Budget Allocat (2)'!BE111/'FY20 Initial Budget Allocat FTE'!BE$121</f>
        <v>0</v>
      </c>
      <c r="BF111" s="115">
        <f>'[8]FY20 Initial Budget Allocat (2)'!BF111/'FY20 Initial Budget Allocat FTE'!BF$121</f>
        <v>0</v>
      </c>
      <c r="BG111" s="115">
        <f>'[8]FY20 Initial Budget Allocat (2)'!BG111/'FY20 Initial Budget Allocat FTE'!BG$121</f>
        <v>2.1252589375208819</v>
      </c>
      <c r="BH111" s="115">
        <f>'[8]FY20 Initial Budget Allocat (2)'!BH111/'FY20 Initial Budget Allocat FTE'!BH$121</f>
        <v>6</v>
      </c>
      <c r="BI111" s="115">
        <f>'[8]FY20 Initial Budget Allocat (2)'!BI111/'FY20 Initial Budget Allocat FTE'!BI$121</f>
        <v>1</v>
      </c>
      <c r="BJ111" s="79"/>
      <c r="BK111" s="79">
        <v>0</v>
      </c>
      <c r="BL111" s="79">
        <v>23194.2</v>
      </c>
      <c r="BM111" s="79">
        <v>206794.27</v>
      </c>
      <c r="BN111" s="79">
        <v>3290.63</v>
      </c>
      <c r="BO111" s="79">
        <v>0</v>
      </c>
      <c r="BP111" s="115">
        <f>'[8]FY20 Initial Budget Allocat (2)'!BP111/'FY20 Initial Budget Allocat FTE'!BP$121</f>
        <v>0</v>
      </c>
      <c r="BQ111" s="115">
        <f>'[8]FY20 Initial Budget Allocat (2)'!BQ111/'FY20 Initial Budget Allocat FTE'!BQ$121</f>
        <v>0</v>
      </c>
      <c r="BR111" s="115">
        <f>'[8]FY20 Initial Budget Allocat (2)'!BR111/'FY20 Initial Budget Allocat FTE'!BR$121</f>
        <v>0</v>
      </c>
      <c r="BS111" s="115">
        <f>'[8]FY20 Initial Budget Allocat (2)'!BS111/'FY20 Initial Budget Allocat FTE'!BS$121</f>
        <v>0</v>
      </c>
      <c r="BT111" s="115">
        <f>'[8]FY20 Initial Budget Allocat (2)'!BT111/'FY20 Initial Budget Allocat FTE'!BT$121</f>
        <v>0</v>
      </c>
      <c r="BU111" s="115">
        <f>'[8]FY20 Initial Budget Allocat (2)'!BU111/'FY20 Initial Budget Allocat FTE'!BU$121</f>
        <v>0</v>
      </c>
      <c r="BV111" s="115">
        <f>'[8]FY20 Initial Budget Allocat (2)'!BV111/'FY20 Initial Budget Allocat FTE'!BV$121</f>
        <v>0</v>
      </c>
      <c r="BW111" s="80">
        <v>0</v>
      </c>
      <c r="BX111" s="80">
        <v>0</v>
      </c>
      <c r="BY111" s="80">
        <v>0</v>
      </c>
      <c r="BZ111" s="80">
        <v>0</v>
      </c>
      <c r="CA111" s="115">
        <f>'[8]FY20 Initial Budget Allocat (2)'!CA111/'FY20 Initial Budget Allocat FTE'!CA$121</f>
        <v>0</v>
      </c>
      <c r="CB111" s="115">
        <f>'[8]FY20 Initial Budget Allocat (2)'!CB111/'FY20 Initial Budget Allocat FTE'!CB$121</f>
        <v>0</v>
      </c>
      <c r="CC111" s="80">
        <v>0</v>
      </c>
      <c r="CD111" s="115">
        <f>'[8]FY20 Initial Budget Allocat (2)'!CD111/'FY20 Initial Budget Allocat FTE'!CD$121</f>
        <v>0</v>
      </c>
      <c r="CE111" s="115">
        <f>'[8]FY20 Initial Budget Allocat (2)'!CE111/'FY20 Initial Budget Allocat FTE'!CE$121</f>
        <v>0</v>
      </c>
      <c r="CF111" s="115">
        <f>'[8]FY20 Initial Budget Allocat (2)'!CF111/'FY20 Initial Budget Allocat FTE'!CF$121</f>
        <v>0</v>
      </c>
      <c r="CG111" s="115">
        <f>'[8]FY20 Initial Budget Allocat (2)'!CG111/'FY20 Initial Budget Allocat FTE'!CG$121</f>
        <v>0</v>
      </c>
      <c r="CH111" s="115">
        <f>'[8]FY20 Initial Budget Allocat (2)'!CH111/'FY20 Initial Budget Allocat FTE'!CH$121</f>
        <v>0</v>
      </c>
      <c r="CI111" s="115">
        <f>'[8]FY20 Initial Budget Allocat (2)'!CI111/'FY20 Initial Budget Allocat FTE'!CI$121</f>
        <v>2</v>
      </c>
      <c r="CJ111" s="115">
        <f>'[8]FY20 Initial Budget Allocat (2)'!CJ111/'FY20 Initial Budget Allocat FTE'!CJ$121</f>
        <v>0</v>
      </c>
      <c r="CK111" s="79">
        <v>23000</v>
      </c>
      <c r="CL111" s="79">
        <v>5000</v>
      </c>
      <c r="CM111" s="79">
        <v>236038.47999999998</v>
      </c>
      <c r="CN111" s="79">
        <v>100000</v>
      </c>
      <c r="CO111" s="115">
        <f>'[8]FY20 Initial Budget Allocat (2)'!CO111/'FY20 Initial Budget Allocat FTE'!CO$121</f>
        <v>0</v>
      </c>
      <c r="CP111" s="79">
        <v>0</v>
      </c>
      <c r="CQ111" s="79">
        <v>12400</v>
      </c>
      <c r="CR111" s="79">
        <v>0</v>
      </c>
      <c r="CS111" s="79">
        <v>22373.428571428572</v>
      </c>
      <c r="CT111" s="115">
        <f>'[8]FY20 Initial Budget Allocat (2)'!CT111/'FY20 Initial Budget Allocat FTE'!CT$121</f>
        <v>0</v>
      </c>
      <c r="CU111" s="115">
        <f>'[8]FY20 Initial Budget Allocat (2)'!CU111/'FY20 Initial Budget Allocat FTE'!CU$121</f>
        <v>0</v>
      </c>
      <c r="CV111" s="79"/>
      <c r="CW111" s="79">
        <v>0</v>
      </c>
      <c r="CX111" s="115">
        <f>'[8]FY20 Initial Budget Allocat (2)'!CX111/'FY20 Initial Budget Allocat FTE'!CX$121</f>
        <v>0</v>
      </c>
      <c r="CY111" s="79">
        <v>0</v>
      </c>
      <c r="CZ111" s="79">
        <v>0</v>
      </c>
      <c r="DA111" s="79">
        <v>37400</v>
      </c>
      <c r="DB111" s="79">
        <v>93445.853142964741</v>
      </c>
      <c r="DC111" s="82">
        <v>0</v>
      </c>
      <c r="DD111" s="79">
        <v>0</v>
      </c>
      <c r="DE111" s="79"/>
      <c r="DF111" s="79">
        <v>28800</v>
      </c>
      <c r="DG111" s="79">
        <v>0</v>
      </c>
      <c r="DH111" s="83">
        <v>0</v>
      </c>
      <c r="DI111" s="79">
        <v>17510.574649843304</v>
      </c>
      <c r="DJ111" s="79">
        <v>6548954.9190413933</v>
      </c>
      <c r="DK111" s="84">
        <v>8.095860667526722E-2</v>
      </c>
      <c r="DL111" s="84">
        <v>36549.019999999997</v>
      </c>
      <c r="DM111" s="84">
        <f t="shared" si="6"/>
        <v>6585504.0199999996</v>
      </c>
      <c r="DN111" s="116">
        <f t="shared" si="7"/>
        <v>7</v>
      </c>
      <c r="DO111" s="116">
        <f t="shared" si="8"/>
        <v>7</v>
      </c>
      <c r="DP111" s="116">
        <f t="shared" si="9"/>
        <v>12.799999999999999</v>
      </c>
      <c r="DQ111" s="116">
        <f t="shared" si="10"/>
        <v>14</v>
      </c>
      <c r="DR111" s="116">
        <f t="shared" si="11"/>
        <v>8</v>
      </c>
    </row>
    <row r="112" spans="1:122" x14ac:dyDescent="0.25">
      <c r="A112" s="76">
        <v>474</v>
      </c>
      <c r="B112" s="76" t="s">
        <v>377</v>
      </c>
      <c r="C112" s="77" t="s">
        <v>138</v>
      </c>
      <c r="D112" s="41">
        <v>1</v>
      </c>
      <c r="E112" s="78">
        <v>136</v>
      </c>
      <c r="F112" s="78">
        <v>0</v>
      </c>
      <c r="G112" s="115">
        <f>'[8]FY20 Initial Budget Allocat (2)'!G112/'FY20 Initial Budget Allocat FTE'!G$121</f>
        <v>1</v>
      </c>
      <c r="H112" s="115">
        <f>'[8]FY20 Initial Budget Allocat (2)'!H112/'FY20 Initial Budget Allocat FTE'!H$121</f>
        <v>1</v>
      </c>
      <c r="I112" s="115">
        <f>'[8]FY20 Initial Budget Allocat (2)'!I112/'FY20 Initial Budget Allocat FTE'!I$121</f>
        <v>0.4</v>
      </c>
      <c r="J112" s="115">
        <f>'[8]FY20 Initial Budget Allocat (2)'!J112/'FY20 Initial Budget Allocat FTE'!J$121</f>
        <v>0</v>
      </c>
      <c r="K112" s="115">
        <f>'[8]FY20 Initial Budget Allocat (2)'!K112/'FY20 Initial Budget Allocat FTE'!K$121</f>
        <v>0.54399813595183677</v>
      </c>
      <c r="L112" s="115">
        <f>'[8]FY20 Initial Budget Allocat (2)'!L112/'FY20 Initial Budget Allocat FTE'!L$121</f>
        <v>0.5</v>
      </c>
      <c r="M112" s="115">
        <f>'[8]FY20 Initial Budget Allocat (2)'!M112/'FY20 Initial Budget Allocat FTE'!M$121</f>
        <v>1</v>
      </c>
      <c r="N112" s="115">
        <f>'[8]FY20 Initial Budget Allocat (2)'!N112/'FY20 Initial Budget Allocat FTE'!N$121</f>
        <v>0</v>
      </c>
      <c r="O112" s="115">
        <f>'[8]FY20 Initial Budget Allocat (2)'!O112/'FY20 Initial Budget Allocat FTE'!O$121</f>
        <v>1</v>
      </c>
      <c r="P112" s="115">
        <f>'[8]FY20 Initial Budget Allocat (2)'!P112/'FY20 Initial Budget Allocat FTE'!P$121</f>
        <v>1</v>
      </c>
      <c r="Q112" s="115">
        <f>'[8]FY20 Initial Budget Allocat (2)'!Q112/'FY20 Initial Budget Allocat FTE'!Q$121</f>
        <v>0</v>
      </c>
      <c r="R112" s="115">
        <f>'[8]FY20 Initial Budget Allocat (2)'!R112/'FY20 Initial Budget Allocat FTE'!R$121</f>
        <v>1</v>
      </c>
      <c r="S112" s="115">
        <f>'[8]FY20 Initial Budget Allocat (2)'!S112/'FY20 Initial Budget Allocat FTE'!S$121</f>
        <v>1</v>
      </c>
      <c r="T112" s="115">
        <f>'[8]FY20 Initial Budget Allocat (2)'!T112/'FY20 Initial Budget Allocat FTE'!T$121</f>
        <v>2</v>
      </c>
      <c r="U112" s="115">
        <f>'[8]FY20 Initial Budget Allocat (2)'!U112/'FY20 Initial Budget Allocat FTE'!U$121</f>
        <v>0.5</v>
      </c>
      <c r="V112" s="115">
        <f>'[8]FY20 Initial Budget Allocat (2)'!V112/'FY20 Initial Budget Allocat FTE'!V$121</f>
        <v>0</v>
      </c>
      <c r="W112" s="115">
        <f>'[8]FY20 Initial Budget Allocat (2)'!W112/'FY20 Initial Budget Allocat FTE'!W$121</f>
        <v>0</v>
      </c>
      <c r="X112" s="115">
        <f>'[8]FY20 Initial Budget Allocat (2)'!X112/'FY20 Initial Budget Allocat FTE'!X$121</f>
        <v>0</v>
      </c>
      <c r="Y112" s="115">
        <f>'[8]FY20 Initial Budget Allocat (2)'!Y112/'FY20 Initial Budget Allocat FTE'!Y$121</f>
        <v>0</v>
      </c>
      <c r="Z112" s="115">
        <f>'[8]FY20 Initial Budget Allocat (2)'!Z112/'FY20 Initial Budget Allocat FTE'!Z$121</f>
        <v>0</v>
      </c>
      <c r="AA112" s="115">
        <f>'[8]FY20 Initial Budget Allocat (2)'!AA112/'FY20 Initial Budget Allocat FTE'!AA$121</f>
        <v>0</v>
      </c>
      <c r="AB112" s="115">
        <f>'[8]FY20 Initial Budget Allocat (2)'!AB112/'FY20 Initial Budget Allocat FTE'!AB$121</f>
        <v>0</v>
      </c>
      <c r="AC112" s="115">
        <f>'[8]FY20 Initial Budget Allocat (2)'!AC112/'FY20 Initial Budget Allocat FTE'!AC$121</f>
        <v>0</v>
      </c>
      <c r="AD112" s="115">
        <f>'[8]FY20 Initial Budget Allocat (2)'!AD112/'FY20 Initial Budget Allocat FTE'!AD$121</f>
        <v>0</v>
      </c>
      <c r="AE112" s="115">
        <f>'[8]FY20 Initial Budget Allocat (2)'!AE112/'FY20 Initial Budget Allocat FTE'!AE$121</f>
        <v>0</v>
      </c>
      <c r="AF112" s="115">
        <f>'[8]FY20 Initial Budget Allocat (2)'!AF112/'FY20 Initial Budget Allocat FTE'!AF$121</f>
        <v>0</v>
      </c>
      <c r="AG112" s="115">
        <f>'[8]FY20 Initial Budget Allocat (2)'!AG112/'FY20 Initial Budget Allocat FTE'!AG$121</f>
        <v>0</v>
      </c>
      <c r="AH112" s="115">
        <f>'[8]FY20 Initial Budget Allocat (2)'!AH112/'FY20 Initial Budget Allocat FTE'!AH$121</f>
        <v>0</v>
      </c>
      <c r="AI112" s="115">
        <f>'[8]FY20 Initial Budget Allocat (2)'!AI112/'FY20 Initial Budget Allocat FTE'!AI$121</f>
        <v>0</v>
      </c>
      <c r="AJ112" s="115">
        <f>'[8]FY20 Initial Budget Allocat (2)'!AJ112/'FY20 Initial Budget Allocat FTE'!AJ$121</f>
        <v>0</v>
      </c>
      <c r="AK112" s="115">
        <f>'[8]FY20 Initial Budget Allocat (2)'!AK112/'FY20 Initial Budget Allocat FTE'!AK$121</f>
        <v>0</v>
      </c>
      <c r="AL112" s="115">
        <f>'[8]FY20 Initial Budget Allocat (2)'!AL112/'FY20 Initial Budget Allocat FTE'!AL$121</f>
        <v>0</v>
      </c>
      <c r="AM112" s="115">
        <f>'[8]FY20 Initial Budget Allocat (2)'!AM112/'FY20 Initial Budget Allocat FTE'!AM$121</f>
        <v>0</v>
      </c>
      <c r="AN112" s="115">
        <f>'[8]FY20 Initial Budget Allocat (2)'!AN112/'FY20 Initial Budget Allocat FTE'!AN$121</f>
        <v>0</v>
      </c>
      <c r="AO112" s="115">
        <f>'[8]FY20 Initial Budget Allocat (2)'!AO112/'FY20 Initial Budget Allocat FTE'!AO$121</f>
        <v>0</v>
      </c>
      <c r="AP112" s="115">
        <f>'[8]FY20 Initial Budget Allocat (2)'!AP112/'FY20 Initial Budget Allocat FTE'!AP$121</f>
        <v>3.6</v>
      </c>
      <c r="AQ112" s="115">
        <f>'[8]FY20 Initial Budget Allocat (2)'!AQ112/'FY20 Initial Budget Allocat FTE'!AQ$121</f>
        <v>2.5</v>
      </c>
      <c r="AR112" s="115">
        <f>'[8]FY20 Initial Budget Allocat (2)'!AR112/'FY20 Initial Budget Allocat FTE'!AR$121</f>
        <v>1.2</v>
      </c>
      <c r="AS112" s="115">
        <f>'[8]FY20 Initial Budget Allocat (2)'!AS112/'FY20 Initial Budget Allocat FTE'!AS$121</f>
        <v>0.9</v>
      </c>
      <c r="AT112" s="115">
        <f>'[8]FY20 Initial Budget Allocat (2)'!AT112/'FY20 Initial Budget Allocat FTE'!AT$121</f>
        <v>0.3</v>
      </c>
      <c r="AU112" s="115">
        <f>'[8]FY20 Initial Budget Allocat (2)'!AU112/'FY20 Initial Budget Allocat FTE'!AU$121</f>
        <v>0</v>
      </c>
      <c r="AV112" s="115">
        <f>'[8]FY20 Initial Budget Allocat (2)'!AV112/'FY20 Initial Budget Allocat FTE'!AV$121</f>
        <v>0</v>
      </c>
      <c r="AW112" s="115">
        <f>'[8]FY20 Initial Budget Allocat (2)'!AW112/'FY20 Initial Budget Allocat FTE'!AW$121</f>
        <v>0</v>
      </c>
      <c r="AX112" s="115">
        <f>'[8]FY20 Initial Budget Allocat (2)'!AX112/'FY20 Initial Budget Allocat FTE'!AX$121</f>
        <v>0.5</v>
      </c>
      <c r="AY112" s="115">
        <f>'[8]FY20 Initial Budget Allocat (2)'!AY112/'FY20 Initial Budget Allocat FTE'!AY$121</f>
        <v>3.0000000000000004</v>
      </c>
      <c r="AZ112" s="115">
        <f>'[8]FY20 Initial Budget Allocat (2)'!AZ112/'FY20 Initial Budget Allocat FTE'!AZ$121</f>
        <v>7</v>
      </c>
      <c r="BA112" s="115">
        <f>'[8]FY20 Initial Budget Allocat (2)'!BA112/'FY20 Initial Budget Allocat FTE'!BA$121</f>
        <v>2</v>
      </c>
      <c r="BB112" s="115">
        <f>'[8]FY20 Initial Budget Allocat (2)'!BB112/'FY20 Initial Budget Allocat FTE'!BB$121</f>
        <v>1</v>
      </c>
      <c r="BC112" s="115">
        <f>'[8]FY20 Initial Budget Allocat (2)'!BC112/'FY20 Initial Budget Allocat FTE'!BC$121</f>
        <v>0</v>
      </c>
      <c r="BD112" s="115">
        <f>'[8]FY20 Initial Budget Allocat (2)'!BD112/'FY20 Initial Budget Allocat FTE'!BD$121</f>
        <v>0.31818181818181818</v>
      </c>
      <c r="BE112" s="115">
        <f>'[8]FY20 Initial Budget Allocat (2)'!BE112/'FY20 Initial Budget Allocat FTE'!BE$121</f>
        <v>0</v>
      </c>
      <c r="BF112" s="115">
        <f>'[8]FY20 Initial Budget Allocat (2)'!BF112/'FY20 Initial Budget Allocat FTE'!BF$121</f>
        <v>0</v>
      </c>
      <c r="BG112" s="115">
        <f>'[8]FY20 Initial Budget Allocat (2)'!BG112/'FY20 Initial Budget Allocat FTE'!BG$121</f>
        <v>0</v>
      </c>
      <c r="BH112" s="115">
        <f>'[8]FY20 Initial Budget Allocat (2)'!BH112/'FY20 Initial Budget Allocat FTE'!BH$121</f>
        <v>0</v>
      </c>
      <c r="BI112" s="115">
        <f>'[8]FY20 Initial Budget Allocat (2)'!BI112/'FY20 Initial Budget Allocat FTE'!BI$121</f>
        <v>0</v>
      </c>
      <c r="BJ112" s="79">
        <v>60000</v>
      </c>
      <c r="BK112" s="79">
        <v>0</v>
      </c>
      <c r="BL112" s="79"/>
      <c r="BM112" s="79">
        <v>90323.94</v>
      </c>
      <c r="BN112" s="79">
        <v>1437.29</v>
      </c>
      <c r="BO112" s="79">
        <v>0</v>
      </c>
      <c r="BP112" s="115">
        <f>'[8]FY20 Initial Budget Allocat (2)'!BP112/'FY20 Initial Budget Allocat FTE'!BP$121</f>
        <v>0</v>
      </c>
      <c r="BQ112" s="115">
        <f>'[8]FY20 Initial Budget Allocat (2)'!BQ112/'FY20 Initial Budget Allocat FTE'!BQ$121</f>
        <v>0</v>
      </c>
      <c r="BR112" s="115">
        <f>'[8]FY20 Initial Budget Allocat (2)'!BR112/'FY20 Initial Budget Allocat FTE'!BR$121</f>
        <v>0</v>
      </c>
      <c r="BS112" s="115">
        <f>'[8]FY20 Initial Budget Allocat (2)'!BS112/'FY20 Initial Budget Allocat FTE'!BS$121</f>
        <v>0</v>
      </c>
      <c r="BT112" s="115">
        <f>'[8]FY20 Initial Budget Allocat (2)'!BT112/'FY20 Initial Budget Allocat FTE'!BT$121</f>
        <v>0</v>
      </c>
      <c r="BU112" s="115">
        <f>'[8]FY20 Initial Budget Allocat (2)'!BU112/'FY20 Initial Budget Allocat FTE'!BU$121</f>
        <v>0</v>
      </c>
      <c r="BV112" s="115">
        <f>'[8]FY20 Initial Budget Allocat (2)'!BV112/'FY20 Initial Budget Allocat FTE'!BV$121</f>
        <v>0</v>
      </c>
      <c r="BW112" s="80">
        <v>0</v>
      </c>
      <c r="BX112" s="80">
        <v>0</v>
      </c>
      <c r="BY112" s="80">
        <v>0</v>
      </c>
      <c r="BZ112" s="80">
        <v>0</v>
      </c>
      <c r="CA112" s="115">
        <f>'[8]FY20 Initial Budget Allocat (2)'!CA112/'FY20 Initial Budget Allocat FTE'!CA$121</f>
        <v>0</v>
      </c>
      <c r="CB112" s="115">
        <f>'[8]FY20 Initial Budget Allocat (2)'!CB112/'FY20 Initial Budget Allocat FTE'!CB$121</f>
        <v>0</v>
      </c>
      <c r="CC112" s="80">
        <v>0</v>
      </c>
      <c r="CD112" s="115">
        <f>'[8]FY20 Initial Budget Allocat (2)'!CD112/'FY20 Initial Budget Allocat FTE'!CD$121</f>
        <v>0</v>
      </c>
      <c r="CE112" s="115">
        <f>'[8]FY20 Initial Budget Allocat (2)'!CE112/'FY20 Initial Budget Allocat FTE'!CE$121</f>
        <v>0</v>
      </c>
      <c r="CF112" s="115">
        <f>'[8]FY20 Initial Budget Allocat (2)'!CF112/'FY20 Initial Budget Allocat FTE'!CF$121</f>
        <v>0</v>
      </c>
      <c r="CG112" s="115">
        <f>'[8]FY20 Initial Budget Allocat (2)'!CG112/'FY20 Initial Budget Allocat FTE'!CG$121</f>
        <v>0</v>
      </c>
      <c r="CH112" s="115">
        <f>'[8]FY20 Initial Budget Allocat (2)'!CH112/'FY20 Initial Budget Allocat FTE'!CH$121</f>
        <v>0</v>
      </c>
      <c r="CI112" s="115">
        <f>'[8]FY20 Initial Budget Allocat (2)'!CI112/'FY20 Initial Budget Allocat FTE'!CI$121</f>
        <v>0</v>
      </c>
      <c r="CJ112" s="115">
        <f>'[8]FY20 Initial Budget Allocat (2)'!CJ112/'FY20 Initial Budget Allocat FTE'!CJ$121</f>
        <v>0</v>
      </c>
      <c r="CK112" s="79">
        <v>9500</v>
      </c>
      <c r="CL112" s="79">
        <v>0</v>
      </c>
      <c r="CM112" s="79">
        <v>295048.09999999998</v>
      </c>
      <c r="CN112" s="79">
        <v>0</v>
      </c>
      <c r="CO112" s="115">
        <f>'[8]FY20 Initial Budget Allocat (2)'!CO112/'FY20 Initial Budget Allocat FTE'!CO$121</f>
        <v>0</v>
      </c>
      <c r="CP112" s="79">
        <v>0</v>
      </c>
      <c r="CQ112" s="79">
        <v>0</v>
      </c>
      <c r="CR112" s="79">
        <v>0</v>
      </c>
      <c r="CS112" s="79">
        <v>20973.5128</v>
      </c>
      <c r="CT112" s="115">
        <f>'[8]FY20 Initial Budget Allocat (2)'!CT112/'FY20 Initial Budget Allocat FTE'!CT$121</f>
        <v>0.94533373890230221</v>
      </c>
      <c r="CU112" s="115">
        <f>'[8]FY20 Initial Budget Allocat (2)'!CU112/'FY20 Initial Budget Allocat FTE'!CU$121</f>
        <v>0</v>
      </c>
      <c r="CV112" s="79">
        <v>150000</v>
      </c>
      <c r="CW112" s="87"/>
      <c r="CX112" s="115">
        <f>'[8]FY20 Initial Budget Allocat (2)'!CX112/'FY20 Initial Budget Allocat FTE'!CX$121</f>
        <v>0</v>
      </c>
      <c r="CY112" s="79">
        <v>0</v>
      </c>
      <c r="CZ112" s="79">
        <v>0</v>
      </c>
      <c r="DA112" s="79">
        <v>13600</v>
      </c>
      <c r="DB112" s="79">
        <v>51787.693205688382</v>
      </c>
      <c r="DC112" s="82">
        <v>0</v>
      </c>
      <c r="DD112" s="79">
        <v>10000</v>
      </c>
      <c r="DE112" s="79">
        <v>5500</v>
      </c>
      <c r="DF112" s="87"/>
      <c r="DG112" s="79">
        <v>0</v>
      </c>
      <c r="DH112" s="83">
        <v>315406.93880869757</v>
      </c>
      <c r="DI112" s="79">
        <v>31177.973397058817</v>
      </c>
      <c r="DJ112" s="79">
        <v>4240204.3820000002</v>
      </c>
      <c r="DK112" s="84">
        <v>-2.0000003278255463E-3</v>
      </c>
      <c r="DL112" s="84">
        <v>131190.78</v>
      </c>
      <c r="DM112" s="84">
        <f t="shared" si="6"/>
        <v>4371395.16</v>
      </c>
      <c r="DN112" s="116">
        <f t="shared" si="7"/>
        <v>0</v>
      </c>
      <c r="DO112" s="116">
        <f t="shared" si="8"/>
        <v>0</v>
      </c>
      <c r="DP112" s="116">
        <f t="shared" si="9"/>
        <v>8.5</v>
      </c>
      <c r="DQ112" s="116">
        <f t="shared" si="10"/>
        <v>10.818181818181818</v>
      </c>
      <c r="DR112" s="116">
        <f t="shared" si="11"/>
        <v>2</v>
      </c>
    </row>
    <row r="113" spans="1:122" x14ac:dyDescent="0.25">
      <c r="A113" s="76">
        <v>333</v>
      </c>
      <c r="B113" s="76" t="s">
        <v>253</v>
      </c>
      <c r="C113" s="77" t="s">
        <v>135</v>
      </c>
      <c r="D113" s="41">
        <v>6</v>
      </c>
      <c r="E113" s="78">
        <v>447</v>
      </c>
      <c r="F113" s="78">
        <v>128.40094339622641</v>
      </c>
      <c r="G113" s="115">
        <f>'[8]FY20 Initial Budget Allocat (2)'!G113/'FY20 Initial Budget Allocat FTE'!G$121</f>
        <v>1</v>
      </c>
      <c r="H113" s="115">
        <f>'[8]FY20 Initial Budget Allocat (2)'!H113/'FY20 Initial Budget Allocat FTE'!H$121</f>
        <v>1</v>
      </c>
      <c r="I113" s="115">
        <f>'[8]FY20 Initial Budget Allocat (2)'!I113/'FY20 Initial Budget Allocat FTE'!I$121</f>
        <v>1.1000000000000001</v>
      </c>
      <c r="J113" s="115">
        <f>'[8]FY20 Initial Budget Allocat (2)'!J113/'FY20 Initial Budget Allocat FTE'!J$121</f>
        <v>0</v>
      </c>
      <c r="K113" s="115">
        <f>'[8]FY20 Initial Budget Allocat (2)'!K113/'FY20 Initial Budget Allocat FTE'!K$121</f>
        <v>0</v>
      </c>
      <c r="L113" s="115">
        <f>'[8]FY20 Initial Budget Allocat (2)'!L113/'FY20 Initial Budget Allocat FTE'!L$121</f>
        <v>1</v>
      </c>
      <c r="M113" s="115">
        <f>'[8]FY20 Initial Budget Allocat (2)'!M113/'FY20 Initial Budget Allocat FTE'!M$121</f>
        <v>1</v>
      </c>
      <c r="N113" s="115">
        <f>'[8]FY20 Initial Budget Allocat (2)'!N113/'FY20 Initial Budget Allocat FTE'!N$121</f>
        <v>1.1000000000000001</v>
      </c>
      <c r="O113" s="115">
        <f>'[8]FY20 Initial Budget Allocat (2)'!O113/'FY20 Initial Budget Allocat FTE'!O$121</f>
        <v>0</v>
      </c>
      <c r="P113" s="115">
        <f>'[8]FY20 Initial Budget Allocat (2)'!P113/'FY20 Initial Budget Allocat FTE'!P$121</f>
        <v>0</v>
      </c>
      <c r="Q113" s="115">
        <f>'[8]FY20 Initial Budget Allocat (2)'!Q113/'FY20 Initial Budget Allocat FTE'!Q$121</f>
        <v>0</v>
      </c>
      <c r="R113" s="115">
        <f>'[8]FY20 Initial Budget Allocat (2)'!R113/'FY20 Initial Budget Allocat FTE'!R$121</f>
        <v>1</v>
      </c>
      <c r="S113" s="115">
        <f>'[8]FY20 Initial Budget Allocat (2)'!S113/'FY20 Initial Budget Allocat FTE'!S$121</f>
        <v>1</v>
      </c>
      <c r="T113" s="115">
        <f>'[8]FY20 Initial Budget Allocat (2)'!T113/'FY20 Initial Budget Allocat FTE'!T$121</f>
        <v>2</v>
      </c>
      <c r="U113" s="115">
        <f>'[8]FY20 Initial Budget Allocat (2)'!U113/'FY20 Initial Budget Allocat FTE'!U$121</f>
        <v>1</v>
      </c>
      <c r="V113" s="115">
        <f>'[8]FY20 Initial Budget Allocat (2)'!V113/'FY20 Initial Budget Allocat FTE'!V$121</f>
        <v>1</v>
      </c>
      <c r="W113" s="115">
        <f>'[8]FY20 Initial Budget Allocat (2)'!W113/'FY20 Initial Budget Allocat FTE'!W$121</f>
        <v>1</v>
      </c>
      <c r="X113" s="115">
        <f>'[8]FY20 Initial Budget Allocat (2)'!X113/'FY20 Initial Budget Allocat FTE'!X$121</f>
        <v>1</v>
      </c>
      <c r="Y113" s="115">
        <f>'[8]FY20 Initial Budget Allocat (2)'!Y113/'FY20 Initial Budget Allocat FTE'!Y$121</f>
        <v>1.5000000000000002</v>
      </c>
      <c r="Z113" s="115">
        <f>'[8]FY20 Initial Budget Allocat (2)'!Z113/'FY20 Initial Budget Allocat FTE'!Z$121</f>
        <v>0</v>
      </c>
      <c r="AA113" s="115">
        <f>'[8]FY20 Initial Budget Allocat (2)'!AA113/'FY20 Initial Budget Allocat FTE'!AA$121</f>
        <v>0</v>
      </c>
      <c r="AB113" s="115">
        <f>'[8]FY20 Initial Budget Allocat (2)'!AB113/'FY20 Initial Budget Allocat FTE'!AB$121</f>
        <v>0</v>
      </c>
      <c r="AC113" s="115">
        <f>'[8]FY20 Initial Budget Allocat (2)'!AC113/'FY20 Initial Budget Allocat FTE'!AC$121</f>
        <v>0</v>
      </c>
      <c r="AD113" s="115">
        <f>'[8]FY20 Initial Budget Allocat (2)'!AD113/'FY20 Initial Budget Allocat FTE'!AD$121</f>
        <v>0</v>
      </c>
      <c r="AE113" s="115">
        <f>'[8]FY20 Initial Budget Allocat (2)'!AE113/'FY20 Initial Budget Allocat FTE'!AE$121</f>
        <v>0</v>
      </c>
      <c r="AF113" s="115">
        <f>'[8]FY20 Initial Budget Allocat (2)'!AF113/'FY20 Initial Budget Allocat FTE'!AF$121</f>
        <v>0</v>
      </c>
      <c r="AG113" s="115">
        <f>'[8]FY20 Initial Budget Allocat (2)'!AG113/'FY20 Initial Budget Allocat FTE'!AG$121</f>
        <v>0</v>
      </c>
      <c r="AH113" s="115">
        <f>'[8]FY20 Initial Budget Allocat (2)'!AH113/'FY20 Initial Budget Allocat FTE'!AH$121</f>
        <v>0</v>
      </c>
      <c r="AI113" s="115">
        <f>'[8]FY20 Initial Budget Allocat (2)'!AI113/'FY20 Initial Budget Allocat FTE'!AI$121</f>
        <v>4</v>
      </c>
      <c r="AJ113" s="115">
        <f>'[8]FY20 Initial Budget Allocat (2)'!AJ113/'FY20 Initial Budget Allocat FTE'!AJ$121</f>
        <v>4</v>
      </c>
      <c r="AK113" s="115">
        <f>'[8]FY20 Initial Budget Allocat (2)'!AK113/'FY20 Initial Budget Allocat FTE'!AK$121</f>
        <v>4</v>
      </c>
      <c r="AL113" s="115">
        <f>'[8]FY20 Initial Budget Allocat (2)'!AL113/'FY20 Initial Budget Allocat FTE'!AL$121</f>
        <v>4</v>
      </c>
      <c r="AM113" s="115">
        <f>'[8]FY20 Initial Budget Allocat (2)'!AM113/'FY20 Initial Budget Allocat FTE'!AM$121</f>
        <v>4</v>
      </c>
      <c r="AN113" s="115">
        <f>'[8]FY20 Initial Budget Allocat (2)'!AN113/'FY20 Initial Budget Allocat FTE'!AN$121</f>
        <v>0</v>
      </c>
      <c r="AO113" s="115">
        <f>'[8]FY20 Initial Budget Allocat (2)'!AO113/'FY20 Initial Budget Allocat FTE'!AO$121</f>
        <v>0</v>
      </c>
      <c r="AP113" s="115">
        <f>'[8]FY20 Initial Budget Allocat (2)'!AP113/'FY20 Initial Budget Allocat FTE'!AP$121</f>
        <v>0</v>
      </c>
      <c r="AQ113" s="115">
        <f>'[8]FY20 Initial Budget Allocat (2)'!AQ113/'FY20 Initial Budget Allocat FTE'!AQ$121</f>
        <v>0</v>
      </c>
      <c r="AR113" s="115">
        <f>'[8]FY20 Initial Budget Allocat (2)'!AR113/'FY20 Initial Budget Allocat FTE'!AR$121</f>
        <v>0</v>
      </c>
      <c r="AS113" s="115">
        <f>'[8]FY20 Initial Budget Allocat (2)'!AS113/'FY20 Initial Budget Allocat FTE'!AS$121</f>
        <v>0</v>
      </c>
      <c r="AT113" s="115">
        <f>'[8]FY20 Initial Budget Allocat (2)'!AT113/'FY20 Initial Budget Allocat FTE'!AT$121</f>
        <v>0</v>
      </c>
      <c r="AU113" s="115">
        <f>'[8]FY20 Initial Budget Allocat (2)'!AU113/'FY20 Initial Budget Allocat FTE'!AU$121</f>
        <v>0</v>
      </c>
      <c r="AV113" s="115">
        <f>'[8]FY20 Initial Budget Allocat (2)'!AV113/'FY20 Initial Budget Allocat FTE'!AV$121</f>
        <v>0</v>
      </c>
      <c r="AW113" s="115">
        <f>'[8]FY20 Initial Budget Allocat (2)'!AW113/'FY20 Initial Budget Allocat FTE'!AW$121</f>
        <v>0</v>
      </c>
      <c r="AX113" s="115">
        <f>'[8]FY20 Initial Budget Allocat (2)'!AX113/'FY20 Initial Budget Allocat FTE'!AX$121</f>
        <v>0.5</v>
      </c>
      <c r="AY113" s="115">
        <f>'[8]FY20 Initial Budget Allocat (2)'!AY113/'FY20 Initial Budget Allocat FTE'!AY$121</f>
        <v>2</v>
      </c>
      <c r="AZ113" s="115">
        <f>'[8]FY20 Initial Budget Allocat (2)'!AZ113/'FY20 Initial Budget Allocat FTE'!AZ$121</f>
        <v>3.0000000000000004</v>
      </c>
      <c r="BA113" s="115">
        <f>'[8]FY20 Initial Budget Allocat (2)'!BA113/'FY20 Initial Budget Allocat FTE'!BA$121</f>
        <v>0</v>
      </c>
      <c r="BB113" s="115">
        <f>'[8]FY20 Initial Budget Allocat (2)'!BB113/'FY20 Initial Budget Allocat FTE'!BB$121</f>
        <v>0</v>
      </c>
      <c r="BC113" s="115">
        <f>'[8]FY20 Initial Budget Allocat (2)'!BC113/'FY20 Initial Budget Allocat FTE'!BC$121</f>
        <v>0</v>
      </c>
      <c r="BD113" s="115">
        <f>'[8]FY20 Initial Budget Allocat (2)'!BD113/'FY20 Initial Budget Allocat FTE'!BD$121</f>
        <v>0.18181818181818182</v>
      </c>
      <c r="BE113" s="115">
        <f>'[8]FY20 Initial Budget Allocat (2)'!BE113/'FY20 Initial Budget Allocat FTE'!BE$121</f>
        <v>0</v>
      </c>
      <c r="BF113" s="115">
        <f>'[8]FY20 Initial Budget Allocat (2)'!BF113/'FY20 Initial Budget Allocat FTE'!BF$121</f>
        <v>0</v>
      </c>
      <c r="BG113" s="115">
        <f>'[8]FY20 Initial Budget Allocat (2)'!BG113/'FY20 Initial Budget Allocat FTE'!BG$121</f>
        <v>5</v>
      </c>
      <c r="BH113" s="115">
        <f>'[8]FY20 Initial Budget Allocat (2)'!BH113/'FY20 Initial Budget Allocat FTE'!BH$121</f>
        <v>5</v>
      </c>
      <c r="BI113" s="115">
        <f>'[8]FY20 Initial Budget Allocat (2)'!BI113/'FY20 Initial Budget Allocat FTE'!BI$121</f>
        <v>1</v>
      </c>
      <c r="BJ113" s="79"/>
      <c r="BK113" s="79">
        <v>0</v>
      </c>
      <c r="BL113" s="79"/>
      <c r="BM113" s="79">
        <v>0</v>
      </c>
      <c r="BN113" s="79">
        <v>0</v>
      </c>
      <c r="BO113" s="79">
        <v>10700</v>
      </c>
      <c r="BP113" s="115">
        <f>'[8]FY20 Initial Budget Allocat (2)'!BP113/'FY20 Initial Budget Allocat FTE'!BP$121</f>
        <v>0</v>
      </c>
      <c r="BQ113" s="115">
        <f>'[8]FY20 Initial Budget Allocat (2)'!BQ113/'FY20 Initial Budget Allocat FTE'!BQ$121</f>
        <v>0</v>
      </c>
      <c r="BR113" s="115">
        <f>'[8]FY20 Initial Budget Allocat (2)'!BR113/'FY20 Initial Budget Allocat FTE'!BR$121</f>
        <v>0</v>
      </c>
      <c r="BS113" s="115">
        <f>'[8]FY20 Initial Budget Allocat (2)'!BS113/'FY20 Initial Budget Allocat FTE'!BS$121</f>
        <v>0</v>
      </c>
      <c r="BT113" s="115">
        <f>'[8]FY20 Initial Budget Allocat (2)'!BT113/'FY20 Initial Budget Allocat FTE'!BT$121</f>
        <v>0</v>
      </c>
      <c r="BU113" s="115">
        <f>'[8]FY20 Initial Budget Allocat (2)'!BU113/'FY20 Initial Budget Allocat FTE'!BU$121</f>
        <v>0</v>
      </c>
      <c r="BV113" s="115">
        <f>'[8]FY20 Initial Budget Allocat (2)'!BV113/'FY20 Initial Budget Allocat FTE'!BV$121</f>
        <v>0</v>
      </c>
      <c r="BW113" s="80">
        <v>0</v>
      </c>
      <c r="BX113" s="80">
        <v>0</v>
      </c>
      <c r="BY113" s="80">
        <v>0</v>
      </c>
      <c r="BZ113" s="80">
        <v>0</v>
      </c>
      <c r="CA113" s="115">
        <f>'[8]FY20 Initial Budget Allocat (2)'!CA113/'FY20 Initial Budget Allocat FTE'!CA$121</f>
        <v>0</v>
      </c>
      <c r="CB113" s="115">
        <f>'[8]FY20 Initial Budget Allocat (2)'!CB113/'FY20 Initial Budget Allocat FTE'!CB$121</f>
        <v>0</v>
      </c>
      <c r="CC113" s="80">
        <v>0</v>
      </c>
      <c r="CD113" s="115">
        <f>'[8]FY20 Initial Budget Allocat (2)'!CD113/'FY20 Initial Budget Allocat FTE'!CD$121</f>
        <v>0</v>
      </c>
      <c r="CE113" s="115">
        <f>'[8]FY20 Initial Budget Allocat (2)'!CE113/'FY20 Initial Budget Allocat FTE'!CE$121</f>
        <v>0</v>
      </c>
      <c r="CF113" s="115">
        <f>'[8]FY20 Initial Budget Allocat (2)'!CF113/'FY20 Initial Budget Allocat FTE'!CF$121</f>
        <v>0</v>
      </c>
      <c r="CG113" s="115">
        <f>'[8]FY20 Initial Budget Allocat (2)'!CG113/'FY20 Initial Budget Allocat FTE'!CG$121</f>
        <v>0</v>
      </c>
      <c r="CH113" s="115">
        <f>'[8]FY20 Initial Budget Allocat (2)'!CH113/'FY20 Initial Budget Allocat FTE'!CH$121</f>
        <v>0</v>
      </c>
      <c r="CI113" s="115">
        <f>'[8]FY20 Initial Budget Allocat (2)'!CI113/'FY20 Initial Budget Allocat FTE'!CI$121</f>
        <v>0</v>
      </c>
      <c r="CJ113" s="115">
        <f>'[8]FY20 Initial Budget Allocat (2)'!CJ113/'FY20 Initial Budget Allocat FTE'!CJ$121</f>
        <v>0</v>
      </c>
      <c r="CK113" s="79">
        <v>0</v>
      </c>
      <c r="CL113" s="79">
        <v>0</v>
      </c>
      <c r="CM113" s="79">
        <v>108165.6</v>
      </c>
      <c r="CN113" s="79">
        <v>0</v>
      </c>
      <c r="CO113" s="115">
        <f>'[8]FY20 Initial Budget Allocat (2)'!CO113/'FY20 Initial Budget Allocat FTE'!CO$121</f>
        <v>0</v>
      </c>
      <c r="CP113" s="79">
        <v>0</v>
      </c>
      <c r="CQ113" s="79">
        <v>2568.0188679245284</v>
      </c>
      <c r="CR113" s="79">
        <v>0</v>
      </c>
      <c r="CS113" s="79">
        <v>23645.094548551959</v>
      </c>
      <c r="CT113" s="115">
        <f>'[8]FY20 Initial Budget Allocat (2)'!CT113/'FY20 Initial Budget Allocat FTE'!CT$121</f>
        <v>0</v>
      </c>
      <c r="CU113" s="115">
        <f>'[8]FY20 Initial Budget Allocat (2)'!CU113/'FY20 Initial Budget Allocat FTE'!CU$121</f>
        <v>0</v>
      </c>
      <c r="CV113" s="79"/>
      <c r="CW113" s="79">
        <v>0</v>
      </c>
      <c r="CX113" s="115">
        <f>'[8]FY20 Initial Budget Allocat (2)'!CX113/'FY20 Initial Budget Allocat FTE'!CX$121</f>
        <v>0</v>
      </c>
      <c r="CY113" s="79">
        <v>0</v>
      </c>
      <c r="CZ113" s="79">
        <v>0</v>
      </c>
      <c r="DA113" s="79">
        <v>44700</v>
      </c>
      <c r="DB113" s="79">
        <v>68441.522021636119</v>
      </c>
      <c r="DC113" s="82">
        <v>0</v>
      </c>
      <c r="DD113" s="79">
        <v>0</v>
      </c>
      <c r="DE113" s="79"/>
      <c r="DF113" s="79">
        <v>19250</v>
      </c>
      <c r="DG113" s="79">
        <v>0</v>
      </c>
      <c r="DH113" s="83">
        <v>0</v>
      </c>
      <c r="DI113" s="79">
        <v>10275.660957409611</v>
      </c>
      <c r="DJ113" s="79">
        <v>4593220.447962096</v>
      </c>
      <c r="DK113" s="84">
        <v>44390.552037904039</v>
      </c>
      <c r="DL113" s="84">
        <v>8811.15</v>
      </c>
      <c r="DM113" s="84">
        <f t="shared" si="6"/>
        <v>4646422.1500000004</v>
      </c>
      <c r="DN113" s="116">
        <f t="shared" si="7"/>
        <v>0</v>
      </c>
      <c r="DO113" s="116">
        <f t="shared" si="8"/>
        <v>0</v>
      </c>
      <c r="DP113" s="116">
        <f t="shared" si="9"/>
        <v>20</v>
      </c>
      <c r="DQ113" s="116">
        <f t="shared" si="10"/>
        <v>5.6818181818181817</v>
      </c>
      <c r="DR113" s="116">
        <f t="shared" si="11"/>
        <v>0</v>
      </c>
    </row>
    <row r="114" spans="1:122" x14ac:dyDescent="0.25">
      <c r="A114" s="76">
        <v>336</v>
      </c>
      <c r="B114" s="76" t="s">
        <v>378</v>
      </c>
      <c r="C114" s="77" t="s">
        <v>150</v>
      </c>
      <c r="D114" s="41">
        <v>4</v>
      </c>
      <c r="E114" s="78">
        <v>340</v>
      </c>
      <c r="F114" s="78">
        <v>170.04651162790699</v>
      </c>
      <c r="G114" s="115">
        <f>'[8]FY20 Initial Budget Allocat (2)'!G114/'FY20 Initial Budget Allocat FTE'!G$121</f>
        <v>1</v>
      </c>
      <c r="H114" s="115">
        <f>'[8]FY20 Initial Budget Allocat (2)'!H114/'FY20 Initial Budget Allocat FTE'!H$121</f>
        <v>1</v>
      </c>
      <c r="I114" s="115">
        <f>'[8]FY20 Initial Budget Allocat (2)'!I114/'FY20 Initial Budget Allocat FTE'!I$121</f>
        <v>0.9</v>
      </c>
      <c r="J114" s="115">
        <f>'[8]FY20 Initial Budget Allocat (2)'!J114/'FY20 Initial Budget Allocat FTE'!J$121</f>
        <v>1</v>
      </c>
      <c r="K114" s="115">
        <f>'[8]FY20 Initial Budget Allocat (2)'!K114/'FY20 Initial Budget Allocat FTE'!K$121</f>
        <v>0</v>
      </c>
      <c r="L114" s="115">
        <f>'[8]FY20 Initial Budget Allocat (2)'!L114/'FY20 Initial Budget Allocat FTE'!L$121</f>
        <v>1</v>
      </c>
      <c r="M114" s="115">
        <f>'[8]FY20 Initial Budget Allocat (2)'!M114/'FY20 Initial Budget Allocat FTE'!M$121</f>
        <v>1</v>
      </c>
      <c r="N114" s="115">
        <f>'[8]FY20 Initial Budget Allocat (2)'!N114/'FY20 Initial Budget Allocat FTE'!N$121</f>
        <v>0</v>
      </c>
      <c r="O114" s="115">
        <f>'[8]FY20 Initial Budget Allocat (2)'!O114/'FY20 Initial Budget Allocat FTE'!O$121</f>
        <v>0</v>
      </c>
      <c r="P114" s="115">
        <f>'[8]FY20 Initial Budget Allocat (2)'!P114/'FY20 Initial Budget Allocat FTE'!P$121</f>
        <v>0</v>
      </c>
      <c r="Q114" s="115">
        <f>'[8]FY20 Initial Budget Allocat (2)'!Q114/'FY20 Initial Budget Allocat FTE'!Q$121</f>
        <v>0</v>
      </c>
      <c r="R114" s="115">
        <f>'[8]FY20 Initial Budget Allocat (2)'!R114/'FY20 Initial Budget Allocat FTE'!R$121</f>
        <v>1</v>
      </c>
      <c r="S114" s="115">
        <f>'[8]FY20 Initial Budget Allocat (2)'!S114/'FY20 Initial Budget Allocat FTE'!S$121</f>
        <v>1</v>
      </c>
      <c r="T114" s="115">
        <f>'[8]FY20 Initial Budget Allocat (2)'!T114/'FY20 Initial Budget Allocat FTE'!T$121</f>
        <v>2</v>
      </c>
      <c r="U114" s="115">
        <f>'[8]FY20 Initial Budget Allocat (2)'!U114/'FY20 Initial Budget Allocat FTE'!U$121</f>
        <v>1</v>
      </c>
      <c r="V114" s="115">
        <f>'[8]FY20 Initial Budget Allocat (2)'!V114/'FY20 Initial Budget Allocat FTE'!V$121</f>
        <v>1</v>
      </c>
      <c r="W114" s="115">
        <f>'[8]FY20 Initial Budget Allocat (2)'!W114/'FY20 Initial Budget Allocat FTE'!W$121</f>
        <v>1</v>
      </c>
      <c r="X114" s="115">
        <f>'[8]FY20 Initial Budget Allocat (2)'!X114/'FY20 Initial Budget Allocat FTE'!X$121</f>
        <v>1</v>
      </c>
      <c r="Y114" s="115">
        <f>'[8]FY20 Initial Budget Allocat (2)'!Y114/'FY20 Initial Budget Allocat FTE'!Y$121</f>
        <v>0</v>
      </c>
      <c r="Z114" s="115">
        <f>'[8]FY20 Initial Budget Allocat (2)'!Z114/'FY20 Initial Budget Allocat FTE'!Z$121</f>
        <v>0</v>
      </c>
      <c r="AA114" s="115">
        <f>'[8]FY20 Initial Budget Allocat (2)'!AA114/'FY20 Initial Budget Allocat FTE'!AA$121</f>
        <v>3.0000000000000004</v>
      </c>
      <c r="AB114" s="115">
        <f>'[8]FY20 Initial Budget Allocat (2)'!AB114/'FY20 Initial Budget Allocat FTE'!AB$121</f>
        <v>3</v>
      </c>
      <c r="AC114" s="115">
        <f>'[8]FY20 Initial Budget Allocat (2)'!AC114/'FY20 Initial Budget Allocat FTE'!AC$121</f>
        <v>0</v>
      </c>
      <c r="AD114" s="115">
        <f>'[8]FY20 Initial Budget Allocat (2)'!AD114/'FY20 Initial Budget Allocat FTE'!AD$121</f>
        <v>0</v>
      </c>
      <c r="AE114" s="115">
        <f>'[8]FY20 Initial Budget Allocat (2)'!AE114/'FY20 Initial Budget Allocat FTE'!AE$121</f>
        <v>2</v>
      </c>
      <c r="AF114" s="115">
        <f>'[8]FY20 Initial Budget Allocat (2)'!AF114/'FY20 Initial Budget Allocat FTE'!AF$121</f>
        <v>2</v>
      </c>
      <c r="AG114" s="115">
        <f>'[8]FY20 Initial Budget Allocat (2)'!AG114/'FY20 Initial Budget Allocat FTE'!AG$121</f>
        <v>2</v>
      </c>
      <c r="AH114" s="115">
        <f>'[8]FY20 Initial Budget Allocat (2)'!AH114/'FY20 Initial Budget Allocat FTE'!AH$121</f>
        <v>2</v>
      </c>
      <c r="AI114" s="115">
        <f>'[8]FY20 Initial Budget Allocat (2)'!AI114/'FY20 Initial Budget Allocat FTE'!AI$121</f>
        <v>2</v>
      </c>
      <c r="AJ114" s="115">
        <f>'[8]FY20 Initial Budget Allocat (2)'!AJ114/'FY20 Initial Budget Allocat FTE'!AJ$121</f>
        <v>2</v>
      </c>
      <c r="AK114" s="115">
        <f>'[8]FY20 Initial Budget Allocat (2)'!AK114/'FY20 Initial Budget Allocat FTE'!AK$121</f>
        <v>2</v>
      </c>
      <c r="AL114" s="115">
        <f>'[8]FY20 Initial Budget Allocat (2)'!AL114/'FY20 Initial Budget Allocat FTE'!AL$121</f>
        <v>2</v>
      </c>
      <c r="AM114" s="115">
        <f>'[8]FY20 Initial Budget Allocat (2)'!AM114/'FY20 Initial Budget Allocat FTE'!AM$121</f>
        <v>2</v>
      </c>
      <c r="AN114" s="115">
        <f>'[8]FY20 Initial Budget Allocat (2)'!AN114/'FY20 Initial Budget Allocat FTE'!AN$121</f>
        <v>0</v>
      </c>
      <c r="AO114" s="115">
        <f>'[8]FY20 Initial Budget Allocat (2)'!AO114/'FY20 Initial Budget Allocat FTE'!AO$121</f>
        <v>0</v>
      </c>
      <c r="AP114" s="115">
        <f>'[8]FY20 Initial Budget Allocat (2)'!AP114/'FY20 Initial Budget Allocat FTE'!AP$121</f>
        <v>1.5000000000000002</v>
      </c>
      <c r="AQ114" s="115">
        <f>'[8]FY20 Initial Budget Allocat (2)'!AQ114/'FY20 Initial Budget Allocat FTE'!AQ$121</f>
        <v>0</v>
      </c>
      <c r="AR114" s="115">
        <f>'[8]FY20 Initial Budget Allocat (2)'!AR114/'FY20 Initial Budget Allocat FTE'!AR$121</f>
        <v>0</v>
      </c>
      <c r="AS114" s="115">
        <f>'[8]FY20 Initial Budget Allocat (2)'!AS114/'FY20 Initial Budget Allocat FTE'!AS$121</f>
        <v>0</v>
      </c>
      <c r="AT114" s="115">
        <f>'[8]FY20 Initial Budget Allocat (2)'!AT114/'FY20 Initial Budget Allocat FTE'!AT$121</f>
        <v>0</v>
      </c>
      <c r="AU114" s="115">
        <f>'[8]FY20 Initial Budget Allocat (2)'!AU114/'FY20 Initial Budget Allocat FTE'!AU$121</f>
        <v>0</v>
      </c>
      <c r="AV114" s="115">
        <f>'[8]FY20 Initial Budget Allocat (2)'!AV114/'FY20 Initial Budget Allocat FTE'!AV$121</f>
        <v>0</v>
      </c>
      <c r="AW114" s="115">
        <f>'[8]FY20 Initial Budget Allocat (2)'!AW114/'FY20 Initial Budget Allocat FTE'!AW$121</f>
        <v>0</v>
      </c>
      <c r="AX114" s="115">
        <f>'[8]FY20 Initial Budget Allocat (2)'!AX114/'FY20 Initial Budget Allocat FTE'!AX$121</f>
        <v>0.5</v>
      </c>
      <c r="AY114" s="115">
        <f>'[8]FY20 Initial Budget Allocat (2)'!AY114/'FY20 Initial Budget Allocat FTE'!AY$121</f>
        <v>1</v>
      </c>
      <c r="AZ114" s="115">
        <f>'[8]FY20 Initial Budget Allocat (2)'!AZ114/'FY20 Initial Budget Allocat FTE'!AZ$121</f>
        <v>6.0000000000000009</v>
      </c>
      <c r="BA114" s="115">
        <f>'[8]FY20 Initial Budget Allocat (2)'!BA114/'FY20 Initial Budget Allocat FTE'!BA$121</f>
        <v>3</v>
      </c>
      <c r="BB114" s="115">
        <f>'[8]FY20 Initial Budget Allocat (2)'!BB114/'FY20 Initial Budget Allocat FTE'!BB$121</f>
        <v>0</v>
      </c>
      <c r="BC114" s="115">
        <f>'[8]FY20 Initial Budget Allocat (2)'!BC114/'FY20 Initial Budget Allocat FTE'!BC$121</f>
        <v>0</v>
      </c>
      <c r="BD114" s="115">
        <f>'[8]FY20 Initial Budget Allocat (2)'!BD114/'FY20 Initial Budget Allocat FTE'!BD$121</f>
        <v>3.0000000000000004</v>
      </c>
      <c r="BE114" s="115">
        <f>'[8]FY20 Initial Budget Allocat (2)'!BE114/'FY20 Initial Budget Allocat FTE'!BE$121</f>
        <v>0</v>
      </c>
      <c r="BF114" s="115">
        <f>'[8]FY20 Initial Budget Allocat (2)'!BF114/'FY20 Initial Budget Allocat FTE'!BF$121</f>
        <v>0</v>
      </c>
      <c r="BG114" s="115">
        <f>'[8]FY20 Initial Budget Allocat (2)'!BG114/'FY20 Initial Budget Allocat FTE'!BG$121</f>
        <v>2.1252589375208819</v>
      </c>
      <c r="BH114" s="115">
        <f>'[8]FY20 Initial Budget Allocat (2)'!BH114/'FY20 Initial Budget Allocat FTE'!BH$121</f>
        <v>6</v>
      </c>
      <c r="BI114" s="115">
        <f>'[8]FY20 Initial Budget Allocat (2)'!BI114/'FY20 Initial Budget Allocat FTE'!BI$121</f>
        <v>1</v>
      </c>
      <c r="BJ114" s="79"/>
      <c r="BK114" s="79">
        <v>0</v>
      </c>
      <c r="BL114" s="79">
        <v>23194.2</v>
      </c>
      <c r="BM114" s="79">
        <v>156878.41</v>
      </c>
      <c r="BN114" s="79">
        <v>2496.34</v>
      </c>
      <c r="BO114" s="79">
        <v>0</v>
      </c>
      <c r="BP114" s="115">
        <f>'[8]FY20 Initial Budget Allocat (2)'!BP114/'FY20 Initial Budget Allocat FTE'!BP$121</f>
        <v>0</v>
      </c>
      <c r="BQ114" s="115">
        <f>'[8]FY20 Initial Budget Allocat (2)'!BQ114/'FY20 Initial Budget Allocat FTE'!BQ$121</f>
        <v>1</v>
      </c>
      <c r="BR114" s="115">
        <f>'[8]FY20 Initial Budget Allocat (2)'!BR114/'FY20 Initial Budget Allocat FTE'!BR$121</f>
        <v>0</v>
      </c>
      <c r="BS114" s="115">
        <f>'[8]FY20 Initial Budget Allocat (2)'!BS114/'FY20 Initial Budget Allocat FTE'!BS$121</f>
        <v>0</v>
      </c>
      <c r="BT114" s="115">
        <f>'[8]FY20 Initial Budget Allocat (2)'!BT114/'FY20 Initial Budget Allocat FTE'!BT$121</f>
        <v>0</v>
      </c>
      <c r="BU114" s="115">
        <f>'[8]FY20 Initial Budget Allocat (2)'!BU114/'FY20 Initial Budget Allocat FTE'!BU$121</f>
        <v>0</v>
      </c>
      <c r="BV114" s="115">
        <f>'[8]FY20 Initial Budget Allocat (2)'!BV114/'FY20 Initial Budget Allocat FTE'!BV$121</f>
        <v>0</v>
      </c>
      <c r="BW114" s="80">
        <v>0</v>
      </c>
      <c r="BX114" s="80">
        <v>0</v>
      </c>
      <c r="BY114" s="80">
        <v>0</v>
      </c>
      <c r="BZ114" s="80">
        <v>0</v>
      </c>
      <c r="CA114" s="115">
        <f>'[8]FY20 Initial Budget Allocat (2)'!CA114/'FY20 Initial Budget Allocat FTE'!CA$121</f>
        <v>0</v>
      </c>
      <c r="CB114" s="115">
        <f>'[8]FY20 Initial Budget Allocat (2)'!CB114/'FY20 Initial Budget Allocat FTE'!CB$121</f>
        <v>0</v>
      </c>
      <c r="CC114" s="80">
        <v>0</v>
      </c>
      <c r="CD114" s="115">
        <f>'[8]FY20 Initial Budget Allocat (2)'!CD114/'FY20 Initial Budget Allocat FTE'!CD$121</f>
        <v>0</v>
      </c>
      <c r="CE114" s="115">
        <f>'[8]FY20 Initial Budget Allocat (2)'!CE114/'FY20 Initial Budget Allocat FTE'!CE$121</f>
        <v>0</v>
      </c>
      <c r="CF114" s="115">
        <f>'[8]FY20 Initial Budget Allocat (2)'!CF114/'FY20 Initial Budget Allocat FTE'!CF$121</f>
        <v>0</v>
      </c>
      <c r="CG114" s="115">
        <f>'[8]FY20 Initial Budget Allocat (2)'!CG114/'FY20 Initial Budget Allocat FTE'!CG$121</f>
        <v>0</v>
      </c>
      <c r="CH114" s="115">
        <f>'[8]FY20 Initial Budget Allocat (2)'!CH114/'FY20 Initial Budget Allocat FTE'!CH$121</f>
        <v>0</v>
      </c>
      <c r="CI114" s="115">
        <f>'[8]FY20 Initial Budget Allocat (2)'!CI114/'FY20 Initial Budget Allocat FTE'!CI$121</f>
        <v>2</v>
      </c>
      <c r="CJ114" s="115">
        <f>'[8]FY20 Initial Budget Allocat (2)'!CJ114/'FY20 Initial Budget Allocat FTE'!CJ$121</f>
        <v>0</v>
      </c>
      <c r="CK114" s="79">
        <v>23000</v>
      </c>
      <c r="CL114" s="79">
        <v>5000</v>
      </c>
      <c r="CM114" s="79">
        <v>108165.6</v>
      </c>
      <c r="CN114" s="79">
        <v>100000</v>
      </c>
      <c r="CO114" s="115">
        <f>'[8]FY20 Initial Budget Allocat (2)'!CO114/'FY20 Initial Budget Allocat FTE'!CO$121</f>
        <v>0</v>
      </c>
      <c r="CP114" s="79">
        <v>0</v>
      </c>
      <c r="CQ114" s="79">
        <v>3400.9302325581398</v>
      </c>
      <c r="CR114" s="79">
        <v>0</v>
      </c>
      <c r="CS114" s="79">
        <v>22129.496402877696</v>
      </c>
      <c r="CT114" s="115">
        <f>'[8]FY20 Initial Budget Allocat (2)'!CT114/'FY20 Initial Budget Allocat FTE'!CT$121</f>
        <v>0</v>
      </c>
      <c r="CU114" s="115">
        <f>'[8]FY20 Initial Budget Allocat (2)'!CU114/'FY20 Initial Budget Allocat FTE'!CU$121</f>
        <v>0</v>
      </c>
      <c r="CV114" s="79"/>
      <c r="CW114" s="79">
        <v>0</v>
      </c>
      <c r="CX114" s="115">
        <f>'[8]FY20 Initial Budget Allocat (2)'!CX114/'FY20 Initial Budget Allocat FTE'!CX$121</f>
        <v>0</v>
      </c>
      <c r="CY114" s="79">
        <v>0</v>
      </c>
      <c r="CZ114" s="79">
        <v>0</v>
      </c>
      <c r="DA114" s="79">
        <v>34000</v>
      </c>
      <c r="DB114" s="79">
        <v>84568.812466278934</v>
      </c>
      <c r="DC114" s="82">
        <v>0</v>
      </c>
      <c r="DD114" s="79">
        <v>0</v>
      </c>
      <c r="DE114" s="79"/>
      <c r="DF114" s="79">
        <v>16750</v>
      </c>
      <c r="DG114" s="79">
        <v>0</v>
      </c>
      <c r="DH114" s="83">
        <v>0</v>
      </c>
      <c r="DI114" s="79">
        <v>17015.979000879895</v>
      </c>
      <c r="DJ114" s="79">
        <v>5785432.8602991644</v>
      </c>
      <c r="DK114" s="84">
        <v>-2.9916409403085709E-4</v>
      </c>
      <c r="DL114" s="84">
        <v>0</v>
      </c>
      <c r="DM114" s="84">
        <f t="shared" si="6"/>
        <v>5785432.8600000003</v>
      </c>
      <c r="DN114" s="116">
        <f t="shared" si="7"/>
        <v>7</v>
      </c>
      <c r="DO114" s="116">
        <f t="shared" si="8"/>
        <v>7</v>
      </c>
      <c r="DP114" s="116">
        <f t="shared" si="9"/>
        <v>11.5</v>
      </c>
      <c r="DQ114" s="116">
        <f t="shared" si="10"/>
        <v>10.500000000000002</v>
      </c>
      <c r="DR114" s="116">
        <f t="shared" si="11"/>
        <v>3</v>
      </c>
    </row>
    <row r="115" spans="1:122" x14ac:dyDescent="0.25">
      <c r="A115" s="76">
        <v>335</v>
      </c>
      <c r="B115" s="76" t="s">
        <v>255</v>
      </c>
      <c r="C115" s="77" t="s">
        <v>150</v>
      </c>
      <c r="D115" s="41">
        <v>5</v>
      </c>
      <c r="E115" s="78">
        <v>329</v>
      </c>
      <c r="F115" s="78">
        <v>267</v>
      </c>
      <c r="G115" s="115">
        <f>'[8]FY20 Initial Budget Allocat (2)'!G115/'FY20 Initial Budget Allocat FTE'!G$121</f>
        <v>1</v>
      </c>
      <c r="H115" s="115">
        <f>'[8]FY20 Initial Budget Allocat (2)'!H115/'FY20 Initial Budget Allocat FTE'!H$121</f>
        <v>1</v>
      </c>
      <c r="I115" s="115">
        <f>'[8]FY20 Initial Budget Allocat (2)'!I115/'FY20 Initial Budget Allocat FTE'!I$121</f>
        <v>0.3</v>
      </c>
      <c r="J115" s="115">
        <f>'[8]FY20 Initial Budget Allocat (2)'!J115/'FY20 Initial Budget Allocat FTE'!J$121</f>
        <v>1</v>
      </c>
      <c r="K115" s="115">
        <f>'[8]FY20 Initial Budget Allocat (2)'!K115/'FY20 Initial Budget Allocat FTE'!K$121</f>
        <v>0</v>
      </c>
      <c r="L115" s="115">
        <f>'[8]FY20 Initial Budget Allocat (2)'!L115/'FY20 Initial Budget Allocat FTE'!L$121</f>
        <v>1</v>
      </c>
      <c r="M115" s="115">
        <f>'[8]FY20 Initial Budget Allocat (2)'!M115/'FY20 Initial Budget Allocat FTE'!M$121</f>
        <v>1</v>
      </c>
      <c r="N115" s="115">
        <f>'[8]FY20 Initial Budget Allocat (2)'!N115/'FY20 Initial Budget Allocat FTE'!N$121</f>
        <v>0</v>
      </c>
      <c r="O115" s="115">
        <f>'[8]FY20 Initial Budget Allocat (2)'!O115/'FY20 Initial Budget Allocat FTE'!O$121</f>
        <v>0</v>
      </c>
      <c r="P115" s="115">
        <f>'[8]FY20 Initial Budget Allocat (2)'!P115/'FY20 Initial Budget Allocat FTE'!P$121</f>
        <v>0</v>
      </c>
      <c r="Q115" s="115">
        <f>'[8]FY20 Initial Budget Allocat (2)'!Q115/'FY20 Initial Budget Allocat FTE'!Q$121</f>
        <v>0</v>
      </c>
      <c r="R115" s="115">
        <f>'[8]FY20 Initial Budget Allocat (2)'!R115/'FY20 Initial Budget Allocat FTE'!R$121</f>
        <v>1</v>
      </c>
      <c r="S115" s="115">
        <f>'[8]FY20 Initial Budget Allocat (2)'!S115/'FY20 Initial Budget Allocat FTE'!S$121</f>
        <v>1</v>
      </c>
      <c r="T115" s="115">
        <f>'[8]FY20 Initial Budget Allocat (2)'!T115/'FY20 Initial Budget Allocat FTE'!T$121</f>
        <v>2</v>
      </c>
      <c r="U115" s="115">
        <f>'[8]FY20 Initial Budget Allocat (2)'!U115/'FY20 Initial Budget Allocat FTE'!U$121</f>
        <v>1</v>
      </c>
      <c r="V115" s="115">
        <f>'[8]FY20 Initial Budget Allocat (2)'!V115/'FY20 Initial Budget Allocat FTE'!V$121</f>
        <v>1</v>
      </c>
      <c r="W115" s="115">
        <f>'[8]FY20 Initial Budget Allocat (2)'!W115/'FY20 Initial Budget Allocat FTE'!W$121</f>
        <v>1</v>
      </c>
      <c r="X115" s="115">
        <f>'[8]FY20 Initial Budget Allocat (2)'!X115/'FY20 Initial Budget Allocat FTE'!X$121</f>
        <v>1</v>
      </c>
      <c r="Y115" s="115">
        <f>'[8]FY20 Initial Budget Allocat (2)'!Y115/'FY20 Initial Budget Allocat FTE'!Y$121</f>
        <v>-3.0673717676069148E-15</v>
      </c>
      <c r="Z115" s="115">
        <f>'[8]FY20 Initial Budget Allocat (2)'!Z115/'FY20 Initial Budget Allocat FTE'!Z$121</f>
        <v>1</v>
      </c>
      <c r="AA115" s="115">
        <f>'[8]FY20 Initial Budget Allocat (2)'!AA115/'FY20 Initial Budget Allocat FTE'!AA$121</f>
        <v>1</v>
      </c>
      <c r="AB115" s="115">
        <f>'[8]FY20 Initial Budget Allocat (2)'!AB115/'FY20 Initial Budget Allocat FTE'!AB$121</f>
        <v>1</v>
      </c>
      <c r="AC115" s="115">
        <f>'[8]FY20 Initial Budget Allocat (2)'!AC115/'FY20 Initial Budget Allocat FTE'!AC$121</f>
        <v>3.0000000000000004</v>
      </c>
      <c r="AD115" s="115">
        <f>'[8]FY20 Initial Budget Allocat (2)'!AD115/'FY20 Initial Budget Allocat FTE'!AD$121</f>
        <v>3</v>
      </c>
      <c r="AE115" s="115">
        <f>'[8]FY20 Initial Budget Allocat (2)'!AE115/'FY20 Initial Budget Allocat FTE'!AE$121</f>
        <v>1</v>
      </c>
      <c r="AF115" s="115">
        <f>'[8]FY20 Initial Budget Allocat (2)'!AF115/'FY20 Initial Budget Allocat FTE'!AF$121</f>
        <v>1</v>
      </c>
      <c r="AG115" s="115">
        <f>'[8]FY20 Initial Budget Allocat (2)'!AG115/'FY20 Initial Budget Allocat FTE'!AG$121</f>
        <v>2</v>
      </c>
      <c r="AH115" s="115">
        <f>'[8]FY20 Initial Budget Allocat (2)'!AH115/'FY20 Initial Budget Allocat FTE'!AH$121</f>
        <v>2</v>
      </c>
      <c r="AI115" s="115">
        <f>'[8]FY20 Initial Budget Allocat (2)'!AI115/'FY20 Initial Budget Allocat FTE'!AI$121</f>
        <v>2</v>
      </c>
      <c r="AJ115" s="115">
        <f>'[8]FY20 Initial Budget Allocat (2)'!AJ115/'FY20 Initial Budget Allocat FTE'!AJ$121</f>
        <v>1</v>
      </c>
      <c r="AK115" s="115">
        <f>'[8]FY20 Initial Budget Allocat (2)'!AK115/'FY20 Initial Budget Allocat FTE'!AK$121</f>
        <v>1</v>
      </c>
      <c r="AL115" s="115">
        <f>'[8]FY20 Initial Budget Allocat (2)'!AL115/'FY20 Initial Budget Allocat FTE'!AL$121</f>
        <v>2</v>
      </c>
      <c r="AM115" s="115">
        <f>'[8]FY20 Initial Budget Allocat (2)'!AM115/'FY20 Initial Budget Allocat FTE'!AM$121</f>
        <v>1</v>
      </c>
      <c r="AN115" s="115">
        <f>'[8]FY20 Initial Budget Allocat (2)'!AN115/'FY20 Initial Budget Allocat FTE'!AN$121</f>
        <v>1.3999999999999997</v>
      </c>
      <c r="AO115" s="115">
        <f>'[8]FY20 Initial Budget Allocat (2)'!AO115/'FY20 Initial Budget Allocat FTE'!AO$121</f>
        <v>1.2</v>
      </c>
      <c r="AP115" s="115">
        <f>'[8]FY20 Initial Budget Allocat (2)'!AP115/'FY20 Initial Budget Allocat FTE'!AP$121</f>
        <v>0.9</v>
      </c>
      <c r="AQ115" s="115">
        <f>'[8]FY20 Initial Budget Allocat (2)'!AQ115/'FY20 Initial Budget Allocat FTE'!AQ$121</f>
        <v>0</v>
      </c>
      <c r="AR115" s="115">
        <f>'[8]FY20 Initial Budget Allocat (2)'!AR115/'FY20 Initial Budget Allocat FTE'!AR$121</f>
        <v>0</v>
      </c>
      <c r="AS115" s="115">
        <f>'[8]FY20 Initial Budget Allocat (2)'!AS115/'FY20 Initial Budget Allocat FTE'!AS$121</f>
        <v>0</v>
      </c>
      <c r="AT115" s="115">
        <f>'[8]FY20 Initial Budget Allocat (2)'!AT115/'FY20 Initial Budget Allocat FTE'!AT$121</f>
        <v>0</v>
      </c>
      <c r="AU115" s="115">
        <f>'[8]FY20 Initial Budget Allocat (2)'!AU115/'FY20 Initial Budget Allocat FTE'!AU$121</f>
        <v>0</v>
      </c>
      <c r="AV115" s="115">
        <f>'[8]FY20 Initial Budget Allocat (2)'!AV115/'FY20 Initial Budget Allocat FTE'!AV$121</f>
        <v>0</v>
      </c>
      <c r="AW115" s="115">
        <f>'[8]FY20 Initial Budget Allocat (2)'!AW115/'FY20 Initial Budget Allocat FTE'!AW$121</f>
        <v>0</v>
      </c>
      <c r="AX115" s="115">
        <f>'[8]FY20 Initial Budget Allocat (2)'!AX115/'FY20 Initial Budget Allocat FTE'!AX$121</f>
        <v>1</v>
      </c>
      <c r="AY115" s="115">
        <f>'[8]FY20 Initial Budget Allocat (2)'!AY115/'FY20 Initial Budget Allocat FTE'!AY$121</f>
        <v>3.0000000000000004</v>
      </c>
      <c r="AZ115" s="115">
        <f>'[8]FY20 Initial Budget Allocat (2)'!AZ115/'FY20 Initial Budget Allocat FTE'!AZ$121</f>
        <v>7</v>
      </c>
      <c r="BA115" s="115">
        <f>'[8]FY20 Initial Budget Allocat (2)'!BA115/'FY20 Initial Budget Allocat FTE'!BA$121</f>
        <v>2</v>
      </c>
      <c r="BB115" s="115">
        <f>'[8]FY20 Initial Budget Allocat (2)'!BB115/'FY20 Initial Budget Allocat FTE'!BB$121</f>
        <v>0</v>
      </c>
      <c r="BC115" s="115">
        <f>'[8]FY20 Initial Budget Allocat (2)'!BC115/'FY20 Initial Budget Allocat FTE'!BC$121</f>
        <v>0</v>
      </c>
      <c r="BD115" s="115">
        <f>'[8]FY20 Initial Budget Allocat (2)'!BD115/'FY20 Initial Budget Allocat FTE'!BD$121</f>
        <v>2</v>
      </c>
      <c r="BE115" s="115">
        <f>'[8]FY20 Initial Budget Allocat (2)'!BE115/'FY20 Initial Budget Allocat FTE'!BE$121</f>
        <v>0</v>
      </c>
      <c r="BF115" s="115">
        <f>'[8]FY20 Initial Budget Allocat (2)'!BF115/'FY20 Initial Budget Allocat FTE'!BF$121</f>
        <v>0</v>
      </c>
      <c r="BG115" s="115">
        <f>'[8]FY20 Initial Budget Allocat (2)'!BG115/'FY20 Initial Budget Allocat FTE'!BG$121</f>
        <v>2.062629468760441</v>
      </c>
      <c r="BH115" s="115">
        <f>'[8]FY20 Initial Budget Allocat (2)'!BH115/'FY20 Initial Budget Allocat FTE'!BH$121</f>
        <v>4</v>
      </c>
      <c r="BI115" s="115">
        <f>'[8]FY20 Initial Budget Allocat (2)'!BI115/'FY20 Initial Budget Allocat FTE'!BI$121</f>
        <v>1</v>
      </c>
      <c r="BJ115" s="79"/>
      <c r="BK115" s="79">
        <v>0</v>
      </c>
      <c r="BL115" s="79">
        <v>11597.1</v>
      </c>
      <c r="BM115" s="79">
        <v>154026.07999999999</v>
      </c>
      <c r="BN115" s="79">
        <v>2450.9499999999998</v>
      </c>
      <c r="BO115" s="79">
        <v>0</v>
      </c>
      <c r="BP115" s="115">
        <f>'[8]FY20 Initial Budget Allocat (2)'!BP115/'FY20 Initial Budget Allocat FTE'!BP$121</f>
        <v>0</v>
      </c>
      <c r="BQ115" s="115">
        <f>'[8]FY20 Initial Budget Allocat (2)'!BQ115/'FY20 Initial Budget Allocat FTE'!BQ$121</f>
        <v>0</v>
      </c>
      <c r="BR115" s="115">
        <f>'[8]FY20 Initial Budget Allocat (2)'!BR115/'FY20 Initial Budget Allocat FTE'!BR$121</f>
        <v>0</v>
      </c>
      <c r="BS115" s="115">
        <f>'[8]FY20 Initial Budget Allocat (2)'!BS115/'FY20 Initial Budget Allocat FTE'!BS$121</f>
        <v>0</v>
      </c>
      <c r="BT115" s="115">
        <f>'[8]FY20 Initial Budget Allocat (2)'!BT115/'FY20 Initial Budget Allocat FTE'!BT$121</f>
        <v>0</v>
      </c>
      <c r="BU115" s="115">
        <f>'[8]FY20 Initial Budget Allocat (2)'!BU115/'FY20 Initial Budget Allocat FTE'!BU$121</f>
        <v>0</v>
      </c>
      <c r="BV115" s="115">
        <f>'[8]FY20 Initial Budget Allocat (2)'!BV115/'FY20 Initial Budget Allocat FTE'!BV$121</f>
        <v>0</v>
      </c>
      <c r="BW115" s="80">
        <v>0</v>
      </c>
      <c r="BX115" s="80">
        <v>0</v>
      </c>
      <c r="BY115" s="80">
        <v>0</v>
      </c>
      <c r="BZ115" s="80">
        <v>0</v>
      </c>
      <c r="CA115" s="115">
        <f>'[8]FY20 Initial Budget Allocat (2)'!CA115/'FY20 Initial Budget Allocat FTE'!CA$121</f>
        <v>0</v>
      </c>
      <c r="CB115" s="115">
        <f>'[8]FY20 Initial Budget Allocat (2)'!CB115/'FY20 Initial Budget Allocat FTE'!CB$121</f>
        <v>0</v>
      </c>
      <c r="CC115" s="80">
        <v>0</v>
      </c>
      <c r="CD115" s="115">
        <f>'[8]FY20 Initial Budget Allocat (2)'!CD115/'FY20 Initial Budget Allocat FTE'!CD$121</f>
        <v>0</v>
      </c>
      <c r="CE115" s="115">
        <f>'[8]FY20 Initial Budget Allocat (2)'!CE115/'FY20 Initial Budget Allocat FTE'!CE$121</f>
        <v>0</v>
      </c>
      <c r="CF115" s="115">
        <f>'[8]FY20 Initial Budget Allocat (2)'!CF115/'FY20 Initial Budget Allocat FTE'!CF$121</f>
        <v>0</v>
      </c>
      <c r="CG115" s="115">
        <f>'[8]FY20 Initial Budget Allocat (2)'!CG115/'FY20 Initial Budget Allocat FTE'!CG$121</f>
        <v>0</v>
      </c>
      <c r="CH115" s="115">
        <f>'[8]FY20 Initial Budget Allocat (2)'!CH115/'FY20 Initial Budget Allocat FTE'!CH$121</f>
        <v>0</v>
      </c>
      <c r="CI115" s="115">
        <f>'[8]FY20 Initial Budget Allocat (2)'!CI115/'FY20 Initial Budget Allocat FTE'!CI$121</f>
        <v>2</v>
      </c>
      <c r="CJ115" s="115">
        <f>'[8]FY20 Initial Budget Allocat (2)'!CJ115/'FY20 Initial Budget Allocat FTE'!CJ$121</f>
        <v>0</v>
      </c>
      <c r="CK115" s="79">
        <v>23000</v>
      </c>
      <c r="CL115" s="79">
        <v>5000</v>
      </c>
      <c r="CM115" s="79">
        <v>236038.47999999998</v>
      </c>
      <c r="CN115" s="79">
        <v>100000</v>
      </c>
      <c r="CO115" s="115">
        <f>'[8]FY20 Initial Budget Allocat (2)'!CO115/'FY20 Initial Budget Allocat FTE'!CO$121</f>
        <v>0</v>
      </c>
      <c r="CP115" s="79">
        <v>0</v>
      </c>
      <c r="CQ115" s="79">
        <v>10680</v>
      </c>
      <c r="CR115" s="79">
        <v>72000</v>
      </c>
      <c r="CS115" s="79">
        <v>20437.580000000002</v>
      </c>
      <c r="CT115" s="115">
        <f>'[8]FY20 Initial Budget Allocat (2)'!CT115/'FY20 Initial Budget Allocat FTE'!CT$121</f>
        <v>0</v>
      </c>
      <c r="CU115" s="115">
        <f>'[8]FY20 Initial Budget Allocat (2)'!CU115/'FY20 Initial Budget Allocat FTE'!CU$121</f>
        <v>0</v>
      </c>
      <c r="CV115" s="79"/>
      <c r="CW115" s="79">
        <v>0</v>
      </c>
      <c r="CX115" s="115">
        <f>'[8]FY20 Initial Budget Allocat (2)'!CX115/'FY20 Initial Budget Allocat FTE'!CX$121</f>
        <v>0</v>
      </c>
      <c r="CY115" s="79">
        <v>0</v>
      </c>
      <c r="CZ115" s="79">
        <v>0</v>
      </c>
      <c r="DA115" s="79">
        <v>32900</v>
      </c>
      <c r="DB115" s="79">
        <v>86453.022124948315</v>
      </c>
      <c r="DC115" s="82">
        <v>0</v>
      </c>
      <c r="DD115" s="79">
        <v>0</v>
      </c>
      <c r="DE115" s="79"/>
      <c r="DF115" s="79">
        <v>23100</v>
      </c>
      <c r="DG115" s="79">
        <v>0</v>
      </c>
      <c r="DH115" s="83">
        <v>0</v>
      </c>
      <c r="DI115" s="79">
        <v>18288.647535381067</v>
      </c>
      <c r="DJ115" s="79">
        <v>6016965.0391403716</v>
      </c>
      <c r="DK115" s="84">
        <v>8.5962843149900436E-4</v>
      </c>
      <c r="DL115" s="84">
        <v>0</v>
      </c>
      <c r="DM115" s="84">
        <f t="shared" si="6"/>
        <v>6016965.04</v>
      </c>
      <c r="DN115" s="116">
        <f t="shared" si="7"/>
        <v>7</v>
      </c>
      <c r="DO115" s="116">
        <f t="shared" si="8"/>
        <v>7</v>
      </c>
      <c r="DP115" s="116">
        <f t="shared" si="9"/>
        <v>10.5</v>
      </c>
      <c r="DQ115" s="116">
        <f t="shared" si="10"/>
        <v>13</v>
      </c>
      <c r="DR115" s="116">
        <f t="shared" si="11"/>
        <v>2</v>
      </c>
    </row>
    <row r="116" spans="1:122" x14ac:dyDescent="0.25">
      <c r="A116" s="76">
        <v>338</v>
      </c>
      <c r="B116" s="76" t="s">
        <v>256</v>
      </c>
      <c r="C116" s="77" t="s">
        <v>150</v>
      </c>
      <c r="D116" s="41">
        <v>4</v>
      </c>
      <c r="E116" s="78">
        <v>341</v>
      </c>
      <c r="F116" s="78">
        <v>226.21321321321321</v>
      </c>
      <c r="G116" s="115">
        <f>'[8]FY20 Initial Budget Allocat (2)'!G116/'FY20 Initial Budget Allocat FTE'!G$121</f>
        <v>1</v>
      </c>
      <c r="H116" s="115">
        <f>'[8]FY20 Initial Budget Allocat (2)'!H116/'FY20 Initial Budget Allocat FTE'!H$121</f>
        <v>1</v>
      </c>
      <c r="I116" s="115">
        <f>'[8]FY20 Initial Budget Allocat (2)'!I116/'FY20 Initial Budget Allocat FTE'!I$121</f>
        <v>0.2</v>
      </c>
      <c r="J116" s="115">
        <f>'[8]FY20 Initial Budget Allocat (2)'!J116/'FY20 Initial Budget Allocat FTE'!J$121</f>
        <v>1</v>
      </c>
      <c r="K116" s="115">
        <f>'[8]FY20 Initial Budget Allocat (2)'!K116/'FY20 Initial Budget Allocat FTE'!K$121</f>
        <v>0</v>
      </c>
      <c r="L116" s="115">
        <f>'[8]FY20 Initial Budget Allocat (2)'!L116/'FY20 Initial Budget Allocat FTE'!L$121</f>
        <v>1</v>
      </c>
      <c r="M116" s="115">
        <f>'[8]FY20 Initial Budget Allocat (2)'!M116/'FY20 Initial Budget Allocat FTE'!M$121</f>
        <v>1</v>
      </c>
      <c r="N116" s="115">
        <f>'[8]FY20 Initial Budget Allocat (2)'!N116/'FY20 Initial Budget Allocat FTE'!N$121</f>
        <v>0</v>
      </c>
      <c r="O116" s="115">
        <f>'[8]FY20 Initial Budget Allocat (2)'!O116/'FY20 Initial Budget Allocat FTE'!O$121</f>
        <v>0</v>
      </c>
      <c r="P116" s="115">
        <f>'[8]FY20 Initial Budget Allocat (2)'!P116/'FY20 Initial Budget Allocat FTE'!P$121</f>
        <v>0</v>
      </c>
      <c r="Q116" s="115">
        <f>'[8]FY20 Initial Budget Allocat (2)'!Q116/'FY20 Initial Budget Allocat FTE'!Q$121</f>
        <v>0</v>
      </c>
      <c r="R116" s="115">
        <f>'[8]FY20 Initial Budget Allocat (2)'!R116/'FY20 Initial Budget Allocat FTE'!R$121</f>
        <v>1</v>
      </c>
      <c r="S116" s="115">
        <f>'[8]FY20 Initial Budget Allocat (2)'!S116/'FY20 Initial Budget Allocat FTE'!S$121</f>
        <v>1</v>
      </c>
      <c r="T116" s="115">
        <f>'[8]FY20 Initial Budget Allocat (2)'!T116/'FY20 Initial Budget Allocat FTE'!T$121</f>
        <v>2</v>
      </c>
      <c r="U116" s="115">
        <f>'[8]FY20 Initial Budget Allocat (2)'!U116/'FY20 Initial Budget Allocat FTE'!U$121</f>
        <v>1</v>
      </c>
      <c r="V116" s="115">
        <f>'[8]FY20 Initial Budget Allocat (2)'!V116/'FY20 Initial Budget Allocat FTE'!V$121</f>
        <v>1</v>
      </c>
      <c r="W116" s="115">
        <f>'[8]FY20 Initial Budget Allocat (2)'!W116/'FY20 Initial Budget Allocat FTE'!W$121</f>
        <v>1</v>
      </c>
      <c r="X116" s="115">
        <f>'[8]FY20 Initial Budget Allocat (2)'!X116/'FY20 Initial Budget Allocat FTE'!X$121</f>
        <v>1</v>
      </c>
      <c r="Y116" s="115">
        <f>'[8]FY20 Initial Budget Allocat (2)'!Y116/'FY20 Initial Budget Allocat FTE'!Y$121</f>
        <v>0</v>
      </c>
      <c r="Z116" s="115">
        <f>'[8]FY20 Initial Budget Allocat (2)'!Z116/'FY20 Initial Budget Allocat FTE'!Z$121</f>
        <v>0</v>
      </c>
      <c r="AA116" s="115">
        <f>'[8]FY20 Initial Budget Allocat (2)'!AA116/'FY20 Initial Budget Allocat FTE'!AA$121</f>
        <v>1</v>
      </c>
      <c r="AB116" s="115">
        <f>'[8]FY20 Initial Budget Allocat (2)'!AB116/'FY20 Initial Budget Allocat FTE'!AB$121</f>
        <v>1</v>
      </c>
      <c r="AC116" s="115">
        <f>'[8]FY20 Initial Budget Allocat (2)'!AC116/'FY20 Initial Budget Allocat FTE'!AC$121</f>
        <v>2</v>
      </c>
      <c r="AD116" s="115">
        <f>'[8]FY20 Initial Budget Allocat (2)'!AD116/'FY20 Initial Budget Allocat FTE'!AD$121</f>
        <v>2</v>
      </c>
      <c r="AE116" s="115">
        <f>'[8]FY20 Initial Budget Allocat (2)'!AE116/'FY20 Initial Budget Allocat FTE'!AE$121</f>
        <v>1</v>
      </c>
      <c r="AF116" s="115">
        <f>'[8]FY20 Initial Budget Allocat (2)'!AF116/'FY20 Initial Budget Allocat FTE'!AF$121</f>
        <v>1</v>
      </c>
      <c r="AG116" s="115">
        <f>'[8]FY20 Initial Budget Allocat (2)'!AG116/'FY20 Initial Budget Allocat FTE'!AG$121</f>
        <v>2</v>
      </c>
      <c r="AH116" s="115">
        <f>'[8]FY20 Initial Budget Allocat (2)'!AH116/'FY20 Initial Budget Allocat FTE'!AH$121</f>
        <v>2</v>
      </c>
      <c r="AI116" s="115">
        <f>'[8]FY20 Initial Budget Allocat (2)'!AI116/'FY20 Initial Budget Allocat FTE'!AI$121</f>
        <v>2</v>
      </c>
      <c r="AJ116" s="115">
        <f>'[8]FY20 Initial Budget Allocat (2)'!AJ116/'FY20 Initial Budget Allocat FTE'!AJ$121</f>
        <v>2</v>
      </c>
      <c r="AK116" s="115">
        <f>'[8]FY20 Initial Budget Allocat (2)'!AK116/'FY20 Initial Budget Allocat FTE'!AK$121</f>
        <v>1</v>
      </c>
      <c r="AL116" s="115">
        <f>'[8]FY20 Initial Budget Allocat (2)'!AL116/'FY20 Initial Budget Allocat FTE'!AL$121</f>
        <v>2</v>
      </c>
      <c r="AM116" s="115">
        <f>'[8]FY20 Initial Budget Allocat (2)'!AM116/'FY20 Initial Budget Allocat FTE'!AM$121</f>
        <v>1</v>
      </c>
      <c r="AN116" s="115">
        <f>'[8]FY20 Initial Budget Allocat (2)'!AN116/'FY20 Initial Budget Allocat FTE'!AN$121</f>
        <v>0</v>
      </c>
      <c r="AO116" s="115">
        <f>'[8]FY20 Initial Budget Allocat (2)'!AO116/'FY20 Initial Budget Allocat FTE'!AO$121</f>
        <v>1.9</v>
      </c>
      <c r="AP116" s="115">
        <f>'[8]FY20 Initial Budget Allocat (2)'!AP116/'FY20 Initial Budget Allocat FTE'!AP$121</f>
        <v>1.2</v>
      </c>
      <c r="AQ116" s="115">
        <f>'[8]FY20 Initial Budget Allocat (2)'!AQ116/'FY20 Initial Budget Allocat FTE'!AQ$121</f>
        <v>0</v>
      </c>
      <c r="AR116" s="115">
        <f>'[8]FY20 Initial Budget Allocat (2)'!AR116/'FY20 Initial Budget Allocat FTE'!AR$121</f>
        <v>0</v>
      </c>
      <c r="AS116" s="115">
        <f>'[8]FY20 Initial Budget Allocat (2)'!AS116/'FY20 Initial Budget Allocat FTE'!AS$121</f>
        <v>0</v>
      </c>
      <c r="AT116" s="115">
        <f>'[8]FY20 Initial Budget Allocat (2)'!AT116/'FY20 Initial Budget Allocat FTE'!AT$121</f>
        <v>0</v>
      </c>
      <c r="AU116" s="115">
        <f>'[8]FY20 Initial Budget Allocat (2)'!AU116/'FY20 Initial Budget Allocat FTE'!AU$121</f>
        <v>0</v>
      </c>
      <c r="AV116" s="115">
        <f>'[8]FY20 Initial Budget Allocat (2)'!AV116/'FY20 Initial Budget Allocat FTE'!AV$121</f>
        <v>0</v>
      </c>
      <c r="AW116" s="115">
        <f>'[8]FY20 Initial Budget Allocat (2)'!AW116/'FY20 Initial Budget Allocat FTE'!AW$121</f>
        <v>0</v>
      </c>
      <c r="AX116" s="115">
        <f>'[8]FY20 Initial Budget Allocat (2)'!AX116/'FY20 Initial Budget Allocat FTE'!AX$121</f>
        <v>1</v>
      </c>
      <c r="AY116" s="115">
        <f>'[8]FY20 Initial Budget Allocat (2)'!AY116/'FY20 Initial Budget Allocat FTE'!AY$121</f>
        <v>1</v>
      </c>
      <c r="AZ116" s="115">
        <f>'[8]FY20 Initial Budget Allocat (2)'!AZ116/'FY20 Initial Budget Allocat FTE'!AZ$121</f>
        <v>10</v>
      </c>
      <c r="BA116" s="115">
        <f>'[8]FY20 Initial Budget Allocat (2)'!BA116/'FY20 Initial Budget Allocat FTE'!BA$121</f>
        <v>9</v>
      </c>
      <c r="BB116" s="115">
        <f>'[8]FY20 Initial Budget Allocat (2)'!BB116/'FY20 Initial Budget Allocat FTE'!BB$121</f>
        <v>0</v>
      </c>
      <c r="BC116" s="115">
        <f>'[8]FY20 Initial Budget Allocat (2)'!BC116/'FY20 Initial Budget Allocat FTE'!BC$121</f>
        <v>1</v>
      </c>
      <c r="BD116" s="115">
        <f>'[8]FY20 Initial Budget Allocat (2)'!BD116/'FY20 Initial Budget Allocat FTE'!BD$121</f>
        <v>3.0000000000000004</v>
      </c>
      <c r="BE116" s="115">
        <f>'[8]FY20 Initial Budget Allocat (2)'!BE116/'FY20 Initial Budget Allocat FTE'!BE$121</f>
        <v>0</v>
      </c>
      <c r="BF116" s="115">
        <f>'[8]FY20 Initial Budget Allocat (2)'!BF116/'FY20 Initial Budget Allocat FTE'!BF$121</f>
        <v>0</v>
      </c>
      <c r="BG116" s="115">
        <f>'[8]FY20 Initial Budget Allocat (2)'!BG116/'FY20 Initial Budget Allocat FTE'!BG$121</f>
        <v>2.1252589375208819</v>
      </c>
      <c r="BH116" s="115">
        <f>'[8]FY20 Initial Budget Allocat (2)'!BH116/'FY20 Initial Budget Allocat FTE'!BH$121</f>
        <v>6</v>
      </c>
      <c r="BI116" s="115">
        <f>'[8]FY20 Initial Budget Allocat (2)'!BI116/'FY20 Initial Budget Allocat FTE'!BI$121</f>
        <v>1</v>
      </c>
      <c r="BJ116" s="79"/>
      <c r="BK116" s="79">
        <v>0</v>
      </c>
      <c r="BL116" s="79">
        <v>23194.2</v>
      </c>
      <c r="BM116" s="79">
        <v>107480.71</v>
      </c>
      <c r="BN116" s="79">
        <v>1710.3</v>
      </c>
      <c r="BO116" s="79">
        <v>0</v>
      </c>
      <c r="BP116" s="115">
        <f>'[8]FY20 Initial Budget Allocat (2)'!BP116/'FY20 Initial Budget Allocat FTE'!BP$121</f>
        <v>0</v>
      </c>
      <c r="BQ116" s="115">
        <f>'[8]FY20 Initial Budget Allocat (2)'!BQ116/'FY20 Initial Budget Allocat FTE'!BQ$121</f>
        <v>0</v>
      </c>
      <c r="BR116" s="115">
        <f>'[8]FY20 Initial Budget Allocat (2)'!BR116/'FY20 Initial Budget Allocat FTE'!BR$121</f>
        <v>0</v>
      </c>
      <c r="BS116" s="115">
        <f>'[8]FY20 Initial Budget Allocat (2)'!BS116/'FY20 Initial Budget Allocat FTE'!BS$121</f>
        <v>0</v>
      </c>
      <c r="BT116" s="115">
        <f>'[8]FY20 Initial Budget Allocat (2)'!BT116/'FY20 Initial Budget Allocat FTE'!BT$121</f>
        <v>0</v>
      </c>
      <c r="BU116" s="115">
        <f>'[8]FY20 Initial Budget Allocat (2)'!BU116/'FY20 Initial Budget Allocat FTE'!BU$121</f>
        <v>0</v>
      </c>
      <c r="BV116" s="115">
        <f>'[8]FY20 Initial Budget Allocat (2)'!BV116/'FY20 Initial Budget Allocat FTE'!BV$121</f>
        <v>0</v>
      </c>
      <c r="BW116" s="80">
        <v>0</v>
      </c>
      <c r="BX116" s="80">
        <v>0</v>
      </c>
      <c r="BY116" s="80">
        <v>0</v>
      </c>
      <c r="BZ116" s="80">
        <v>0</v>
      </c>
      <c r="CA116" s="115">
        <f>'[8]FY20 Initial Budget Allocat (2)'!CA116/'FY20 Initial Budget Allocat FTE'!CA$121</f>
        <v>0</v>
      </c>
      <c r="CB116" s="115">
        <f>'[8]FY20 Initial Budget Allocat (2)'!CB116/'FY20 Initial Budget Allocat FTE'!CB$121</f>
        <v>0</v>
      </c>
      <c r="CC116" s="80">
        <v>0</v>
      </c>
      <c r="CD116" s="115">
        <f>'[8]FY20 Initial Budget Allocat (2)'!CD116/'FY20 Initial Budget Allocat FTE'!CD$121</f>
        <v>0</v>
      </c>
      <c r="CE116" s="115">
        <f>'[8]FY20 Initial Budget Allocat (2)'!CE116/'FY20 Initial Budget Allocat FTE'!CE$121</f>
        <v>0</v>
      </c>
      <c r="CF116" s="115">
        <f>'[8]FY20 Initial Budget Allocat (2)'!CF116/'FY20 Initial Budget Allocat FTE'!CF$121</f>
        <v>0</v>
      </c>
      <c r="CG116" s="115">
        <f>'[8]FY20 Initial Budget Allocat (2)'!CG116/'FY20 Initial Budget Allocat FTE'!CG$121</f>
        <v>0</v>
      </c>
      <c r="CH116" s="115">
        <f>'[8]FY20 Initial Budget Allocat (2)'!CH116/'FY20 Initial Budget Allocat FTE'!CH$121</f>
        <v>0</v>
      </c>
      <c r="CI116" s="115">
        <f>'[8]FY20 Initial Budget Allocat (2)'!CI116/'FY20 Initial Budget Allocat FTE'!CI$121</f>
        <v>2</v>
      </c>
      <c r="CJ116" s="115">
        <f>'[8]FY20 Initial Budget Allocat (2)'!CJ116/'FY20 Initial Budget Allocat FTE'!CJ$121</f>
        <v>0</v>
      </c>
      <c r="CK116" s="79">
        <v>23000</v>
      </c>
      <c r="CL116" s="79">
        <v>5000</v>
      </c>
      <c r="CM116" s="79">
        <v>54082.8</v>
      </c>
      <c r="CN116" s="79">
        <v>100000</v>
      </c>
      <c r="CO116" s="115">
        <f>'[8]FY20 Initial Budget Allocat (2)'!CO116/'FY20 Initial Budget Allocat FTE'!CO$121</f>
        <v>0</v>
      </c>
      <c r="CP116" s="79">
        <v>0</v>
      </c>
      <c r="CQ116" s="79">
        <v>4524.2642642642641</v>
      </c>
      <c r="CR116" s="79">
        <v>212400</v>
      </c>
      <c r="CS116" s="79">
        <v>20077.61153846154</v>
      </c>
      <c r="CT116" s="115">
        <f>'[8]FY20 Initial Budget Allocat (2)'!CT116/'FY20 Initial Budget Allocat FTE'!CT$121</f>
        <v>0</v>
      </c>
      <c r="CU116" s="115">
        <f>'[8]FY20 Initial Budget Allocat (2)'!CU116/'FY20 Initial Budget Allocat FTE'!CU$121</f>
        <v>0</v>
      </c>
      <c r="CV116" s="79"/>
      <c r="CW116" s="79">
        <v>0</v>
      </c>
      <c r="CX116" s="115">
        <f>'[8]FY20 Initial Budget Allocat (2)'!CX116/'FY20 Initial Budget Allocat FTE'!CX$121</f>
        <v>0</v>
      </c>
      <c r="CY116" s="79">
        <v>0</v>
      </c>
      <c r="CZ116" s="79">
        <v>0</v>
      </c>
      <c r="DA116" s="79">
        <v>34100</v>
      </c>
      <c r="DB116" s="79">
        <v>94558.515637352204</v>
      </c>
      <c r="DC116" s="82">
        <v>0</v>
      </c>
      <c r="DD116" s="79">
        <v>0</v>
      </c>
      <c r="DE116" s="79"/>
      <c r="DF116" s="79">
        <v>16500</v>
      </c>
      <c r="DG116" s="79">
        <v>0</v>
      </c>
      <c r="DH116" s="83">
        <v>0</v>
      </c>
      <c r="DI116" s="79">
        <v>18506.029121607524</v>
      </c>
      <c r="DJ116" s="79">
        <v>6310555.9304681644</v>
      </c>
      <c r="DK116" s="84">
        <v>-4.6816468238830566E-4</v>
      </c>
      <c r="DL116" s="84">
        <v>0</v>
      </c>
      <c r="DM116" s="84">
        <f t="shared" si="6"/>
        <v>6310555.9299999997</v>
      </c>
      <c r="DN116" s="116">
        <f t="shared" si="7"/>
        <v>6</v>
      </c>
      <c r="DO116" s="116">
        <f t="shared" si="8"/>
        <v>6</v>
      </c>
      <c r="DP116" s="116">
        <f t="shared" si="9"/>
        <v>11.1</v>
      </c>
      <c r="DQ116" s="116">
        <f t="shared" si="10"/>
        <v>15</v>
      </c>
      <c r="DR116" s="116">
        <f t="shared" si="11"/>
        <v>9</v>
      </c>
    </row>
    <row r="117" spans="1:122" x14ac:dyDescent="0.25">
      <c r="A117" s="76">
        <v>463</v>
      </c>
      <c r="B117" s="76" t="s">
        <v>257</v>
      </c>
      <c r="C117" s="77" t="s">
        <v>138</v>
      </c>
      <c r="D117" s="41">
        <v>3</v>
      </c>
      <c r="E117" s="78">
        <v>1864</v>
      </c>
      <c r="F117" s="78">
        <v>644.91690544412609</v>
      </c>
      <c r="G117" s="115">
        <f>'[8]FY20 Initial Budget Allocat (2)'!G117/'FY20 Initial Budget Allocat FTE'!G$121</f>
        <v>1</v>
      </c>
      <c r="H117" s="115">
        <f>'[8]FY20 Initial Budget Allocat (2)'!H117/'FY20 Initial Budget Allocat FTE'!H$121</f>
        <v>1</v>
      </c>
      <c r="I117" s="115">
        <f>'[8]FY20 Initial Budget Allocat (2)'!I117/'FY20 Initial Budget Allocat FTE'!I$121</f>
        <v>6.2</v>
      </c>
      <c r="J117" s="115">
        <f>'[8]FY20 Initial Budget Allocat (2)'!J117/'FY20 Initial Budget Allocat FTE'!J$121</f>
        <v>0</v>
      </c>
      <c r="K117" s="115">
        <f>'[8]FY20 Initial Budget Allocat (2)'!K117/'FY20 Initial Budget Allocat FTE'!K$121</f>
        <v>7.4999743008065725</v>
      </c>
      <c r="L117" s="115">
        <f>'[8]FY20 Initial Budget Allocat (2)'!L117/'FY20 Initial Budget Allocat FTE'!L$121</f>
        <v>1</v>
      </c>
      <c r="M117" s="115">
        <f>'[8]FY20 Initial Budget Allocat (2)'!M117/'FY20 Initial Budget Allocat FTE'!M$121</f>
        <v>1</v>
      </c>
      <c r="N117" s="115">
        <f>'[8]FY20 Initial Budget Allocat (2)'!N117/'FY20 Initial Budget Allocat FTE'!N$121</f>
        <v>4.7</v>
      </c>
      <c r="O117" s="115">
        <f>'[8]FY20 Initial Budget Allocat (2)'!O117/'FY20 Initial Budget Allocat FTE'!O$121</f>
        <v>1</v>
      </c>
      <c r="P117" s="115">
        <f>'[8]FY20 Initial Budget Allocat (2)'!P117/'FY20 Initial Budget Allocat FTE'!P$121</f>
        <v>1</v>
      </c>
      <c r="Q117" s="115">
        <f>'[8]FY20 Initial Budget Allocat (2)'!Q117/'FY20 Initial Budget Allocat FTE'!Q$121</f>
        <v>0</v>
      </c>
      <c r="R117" s="115">
        <f>'[8]FY20 Initial Budget Allocat (2)'!R117/'FY20 Initial Budget Allocat FTE'!R$121</f>
        <v>1</v>
      </c>
      <c r="S117" s="115">
        <f>'[8]FY20 Initial Budget Allocat (2)'!S117/'FY20 Initial Budget Allocat FTE'!S$121</f>
        <v>1</v>
      </c>
      <c r="T117" s="115">
        <f>'[8]FY20 Initial Budget Allocat (2)'!T117/'FY20 Initial Budget Allocat FTE'!T$121</f>
        <v>11.000000000000002</v>
      </c>
      <c r="U117" s="115">
        <f>'[8]FY20 Initial Budget Allocat (2)'!U117/'FY20 Initial Budget Allocat FTE'!U$121</f>
        <v>1</v>
      </c>
      <c r="V117" s="115">
        <f>'[8]FY20 Initial Budget Allocat (2)'!V117/'FY20 Initial Budget Allocat FTE'!V$121</f>
        <v>0</v>
      </c>
      <c r="W117" s="115">
        <f>'[8]FY20 Initial Budget Allocat (2)'!W117/'FY20 Initial Budget Allocat FTE'!W$121</f>
        <v>0</v>
      </c>
      <c r="X117" s="115">
        <f>'[8]FY20 Initial Budget Allocat (2)'!X117/'FY20 Initial Budget Allocat FTE'!X$121</f>
        <v>0</v>
      </c>
      <c r="Y117" s="115">
        <f>'[8]FY20 Initial Budget Allocat (2)'!Y117/'FY20 Initial Budget Allocat FTE'!Y$121</f>
        <v>0</v>
      </c>
      <c r="Z117" s="115">
        <f>'[8]FY20 Initial Budget Allocat (2)'!Z117/'FY20 Initial Budget Allocat FTE'!Z$121</f>
        <v>0</v>
      </c>
      <c r="AA117" s="115">
        <f>'[8]FY20 Initial Budget Allocat (2)'!AA117/'FY20 Initial Budget Allocat FTE'!AA$121</f>
        <v>0</v>
      </c>
      <c r="AB117" s="115">
        <f>'[8]FY20 Initial Budget Allocat (2)'!AB117/'FY20 Initial Budget Allocat FTE'!AB$121</f>
        <v>0</v>
      </c>
      <c r="AC117" s="115">
        <f>'[8]FY20 Initial Budget Allocat (2)'!AC117/'FY20 Initial Budget Allocat FTE'!AC$121</f>
        <v>0</v>
      </c>
      <c r="AD117" s="115">
        <f>'[8]FY20 Initial Budget Allocat (2)'!AD117/'FY20 Initial Budget Allocat FTE'!AD$121</f>
        <v>0</v>
      </c>
      <c r="AE117" s="115">
        <f>'[8]FY20 Initial Budget Allocat (2)'!AE117/'FY20 Initial Budget Allocat FTE'!AE$121</f>
        <v>0</v>
      </c>
      <c r="AF117" s="115">
        <f>'[8]FY20 Initial Budget Allocat (2)'!AF117/'FY20 Initial Budget Allocat FTE'!AF$121</f>
        <v>0</v>
      </c>
      <c r="AG117" s="115">
        <f>'[8]FY20 Initial Budget Allocat (2)'!AG117/'FY20 Initial Budget Allocat FTE'!AG$121</f>
        <v>0</v>
      </c>
      <c r="AH117" s="115">
        <f>'[8]FY20 Initial Budget Allocat (2)'!AH117/'FY20 Initial Budget Allocat FTE'!AH$121</f>
        <v>0</v>
      </c>
      <c r="AI117" s="115">
        <f>'[8]FY20 Initial Budget Allocat (2)'!AI117/'FY20 Initial Budget Allocat FTE'!AI$121</f>
        <v>0</v>
      </c>
      <c r="AJ117" s="115">
        <f>'[8]FY20 Initial Budget Allocat (2)'!AJ117/'FY20 Initial Budget Allocat FTE'!AJ$121</f>
        <v>0</v>
      </c>
      <c r="AK117" s="115">
        <f>'[8]FY20 Initial Budget Allocat (2)'!AK117/'FY20 Initial Budget Allocat FTE'!AK$121</f>
        <v>0</v>
      </c>
      <c r="AL117" s="115">
        <f>'[8]FY20 Initial Budget Allocat (2)'!AL117/'FY20 Initial Budget Allocat FTE'!AL$121</f>
        <v>0</v>
      </c>
      <c r="AM117" s="115">
        <f>'[8]FY20 Initial Budget Allocat (2)'!AM117/'FY20 Initial Budget Allocat FTE'!AM$121</f>
        <v>0</v>
      </c>
      <c r="AN117" s="115">
        <f>'[8]FY20 Initial Budget Allocat (2)'!AN117/'FY20 Initial Budget Allocat FTE'!AN$121</f>
        <v>0</v>
      </c>
      <c r="AO117" s="115">
        <f>'[8]FY20 Initial Budget Allocat (2)'!AO117/'FY20 Initial Budget Allocat FTE'!AO$121</f>
        <v>0</v>
      </c>
      <c r="AP117" s="115">
        <f>'[8]FY20 Initial Budget Allocat (2)'!AP117/'FY20 Initial Budget Allocat FTE'!AP$121</f>
        <v>0</v>
      </c>
      <c r="AQ117" s="115">
        <f>'[8]FY20 Initial Budget Allocat (2)'!AQ117/'FY20 Initial Budget Allocat FTE'!AQ$121</f>
        <v>0</v>
      </c>
      <c r="AR117" s="115">
        <f>'[8]FY20 Initial Budget Allocat (2)'!AR117/'FY20 Initial Budget Allocat FTE'!AR$121</f>
        <v>0</v>
      </c>
      <c r="AS117" s="115">
        <f>'[8]FY20 Initial Budget Allocat (2)'!AS117/'FY20 Initial Budget Allocat FTE'!AS$121</f>
        <v>0</v>
      </c>
      <c r="AT117" s="115">
        <f>'[8]FY20 Initial Budget Allocat (2)'!AT117/'FY20 Initial Budget Allocat FTE'!AT$121</f>
        <v>0</v>
      </c>
      <c r="AU117" s="115">
        <f>'[8]FY20 Initial Budget Allocat (2)'!AU117/'FY20 Initial Budget Allocat FTE'!AU$121</f>
        <v>0</v>
      </c>
      <c r="AV117" s="115">
        <f>'[8]FY20 Initial Budget Allocat (2)'!AV117/'FY20 Initial Budget Allocat FTE'!AV$121</f>
        <v>77.666666666666671</v>
      </c>
      <c r="AW117" s="115">
        <f>'[8]FY20 Initial Budget Allocat (2)'!AW117/'FY20 Initial Budget Allocat FTE'!AW$121</f>
        <v>11.333333333333368</v>
      </c>
      <c r="AX117" s="115">
        <f>'[8]FY20 Initial Budget Allocat (2)'!AX117/'FY20 Initial Budget Allocat FTE'!AX$121</f>
        <v>2</v>
      </c>
      <c r="AY117" s="115">
        <f>'[8]FY20 Initial Budget Allocat (2)'!AY117/'FY20 Initial Budget Allocat FTE'!AY$121</f>
        <v>5</v>
      </c>
      <c r="AZ117" s="115">
        <f>'[8]FY20 Initial Budget Allocat (2)'!AZ117/'FY20 Initial Budget Allocat FTE'!AZ$121</f>
        <v>20</v>
      </c>
      <c r="BA117" s="115">
        <f>'[8]FY20 Initial Budget Allocat (2)'!BA117/'FY20 Initial Budget Allocat FTE'!BA$121</f>
        <v>6</v>
      </c>
      <c r="BB117" s="115">
        <f>'[8]FY20 Initial Budget Allocat (2)'!BB117/'FY20 Initial Budget Allocat FTE'!BB$121</f>
        <v>0</v>
      </c>
      <c r="BC117" s="115">
        <f>'[8]FY20 Initial Budget Allocat (2)'!BC117/'FY20 Initial Budget Allocat FTE'!BC$121</f>
        <v>0.5</v>
      </c>
      <c r="BD117" s="115">
        <f>'[8]FY20 Initial Budget Allocat (2)'!BD117/'FY20 Initial Budget Allocat FTE'!BD$121</f>
        <v>7</v>
      </c>
      <c r="BE117" s="115">
        <f>'[8]FY20 Initial Budget Allocat (2)'!BE117/'FY20 Initial Budget Allocat FTE'!BE$121</f>
        <v>0</v>
      </c>
      <c r="BF117" s="115">
        <f>'[8]FY20 Initial Budget Allocat (2)'!BF117/'FY20 Initial Budget Allocat FTE'!BF$121</f>
        <v>1</v>
      </c>
      <c r="BG117" s="115">
        <f>'[8]FY20 Initial Budget Allocat (2)'!BG117/'FY20 Initial Budget Allocat FTE'!BG$121</f>
        <v>0</v>
      </c>
      <c r="BH117" s="115">
        <f>'[8]FY20 Initial Budget Allocat (2)'!BH117/'FY20 Initial Budget Allocat FTE'!BH$121</f>
        <v>0</v>
      </c>
      <c r="BI117" s="115">
        <f>'[8]FY20 Initial Budget Allocat (2)'!BI117/'FY20 Initial Budget Allocat FTE'!BI$121</f>
        <v>0</v>
      </c>
      <c r="BJ117" s="79"/>
      <c r="BK117" s="79">
        <v>85000</v>
      </c>
      <c r="BL117" s="79"/>
      <c r="BM117" s="79">
        <v>0</v>
      </c>
      <c r="BN117" s="79">
        <v>0</v>
      </c>
      <c r="BO117" s="79">
        <v>45625</v>
      </c>
      <c r="BP117" s="115">
        <f>'[8]FY20 Initial Budget Allocat (2)'!BP117/'FY20 Initial Budget Allocat FTE'!BP$121</f>
        <v>0</v>
      </c>
      <c r="BQ117" s="115">
        <f>'[8]FY20 Initial Budget Allocat (2)'!BQ117/'FY20 Initial Budget Allocat FTE'!BQ$121</f>
        <v>0</v>
      </c>
      <c r="BR117" s="115">
        <f>'[8]FY20 Initial Budget Allocat (2)'!BR117/'FY20 Initial Budget Allocat FTE'!BR$121</f>
        <v>0</v>
      </c>
      <c r="BS117" s="115">
        <f>'[8]FY20 Initial Budget Allocat (2)'!BS117/'FY20 Initial Budget Allocat FTE'!BS$121</f>
        <v>0</v>
      </c>
      <c r="BT117" s="115">
        <f>'[8]FY20 Initial Budget Allocat (2)'!BT117/'FY20 Initial Budget Allocat FTE'!BT$121</f>
        <v>0</v>
      </c>
      <c r="BU117" s="115">
        <f>'[8]FY20 Initial Budget Allocat (2)'!BU117/'FY20 Initial Budget Allocat FTE'!BU$121</f>
        <v>0</v>
      </c>
      <c r="BV117" s="115">
        <f>'[8]FY20 Initial Budget Allocat (2)'!BV117/'FY20 Initial Budget Allocat FTE'!BV$121</f>
        <v>0</v>
      </c>
      <c r="BW117" s="80">
        <v>0</v>
      </c>
      <c r="BX117" s="80">
        <v>0</v>
      </c>
      <c r="BY117" s="80">
        <v>0</v>
      </c>
      <c r="BZ117" s="80">
        <v>45000</v>
      </c>
      <c r="CA117" s="115">
        <f>'[8]FY20 Initial Budget Allocat (2)'!CA117/'FY20 Initial Budget Allocat FTE'!CA$121</f>
        <v>0</v>
      </c>
      <c r="CB117" s="115">
        <f>'[8]FY20 Initial Budget Allocat (2)'!CB117/'FY20 Initial Budget Allocat FTE'!CB$121</f>
        <v>0</v>
      </c>
      <c r="CC117" s="80">
        <v>0</v>
      </c>
      <c r="CD117" s="115">
        <f>'[8]FY20 Initial Budget Allocat (2)'!CD117/'FY20 Initial Budget Allocat FTE'!CD$121</f>
        <v>2</v>
      </c>
      <c r="CE117" s="115">
        <f>'[8]FY20 Initial Budget Allocat (2)'!CE117/'FY20 Initial Budget Allocat FTE'!CE$121</f>
        <v>0</v>
      </c>
      <c r="CF117" s="115">
        <f>'[8]FY20 Initial Budget Allocat (2)'!CF117/'FY20 Initial Budget Allocat FTE'!CF$121</f>
        <v>1</v>
      </c>
      <c r="CG117" s="115">
        <f>'[8]FY20 Initial Budget Allocat (2)'!CG117/'FY20 Initial Budget Allocat FTE'!CG$121</f>
        <v>1</v>
      </c>
      <c r="CH117" s="115">
        <f>'[8]FY20 Initial Budget Allocat (2)'!CH117/'FY20 Initial Budget Allocat FTE'!CH$121</f>
        <v>0</v>
      </c>
      <c r="CI117" s="115">
        <f>'[8]FY20 Initial Budget Allocat (2)'!CI117/'FY20 Initial Budget Allocat FTE'!CI$121</f>
        <v>0</v>
      </c>
      <c r="CJ117" s="115">
        <f>'[8]FY20 Initial Budget Allocat (2)'!CJ117/'FY20 Initial Budget Allocat FTE'!CJ$121</f>
        <v>0</v>
      </c>
      <c r="CK117" s="79">
        <v>0</v>
      </c>
      <c r="CL117" s="79">
        <v>0</v>
      </c>
      <c r="CM117" s="79">
        <v>657699.69999999995</v>
      </c>
      <c r="CN117" s="79">
        <v>0</v>
      </c>
      <c r="CO117" s="115">
        <f>'[8]FY20 Initial Budget Allocat (2)'!CO117/'FY20 Initial Budget Allocat FTE'!CO$121</f>
        <v>1</v>
      </c>
      <c r="CP117" s="79">
        <v>0</v>
      </c>
      <c r="CQ117" s="79">
        <v>12898.338108882523</v>
      </c>
      <c r="CR117" s="79">
        <v>0</v>
      </c>
      <c r="CS117" s="79">
        <v>242447.49119999999</v>
      </c>
      <c r="CT117" s="115">
        <f>'[8]FY20 Initial Budget Allocat (2)'!CT117/'FY20 Initial Budget Allocat FTE'!CT$121</f>
        <v>0</v>
      </c>
      <c r="CU117" s="115">
        <f>'[8]FY20 Initial Budget Allocat (2)'!CU117/'FY20 Initial Budget Allocat FTE'!CU$121</f>
        <v>1</v>
      </c>
      <c r="CV117" s="79"/>
      <c r="CW117" s="79">
        <v>0</v>
      </c>
      <c r="CX117" s="115">
        <f>'[8]FY20 Initial Budget Allocat (2)'!CX117/'FY20 Initial Budget Allocat FTE'!CX$121</f>
        <v>0</v>
      </c>
      <c r="CY117" s="79">
        <v>0</v>
      </c>
      <c r="CZ117" s="79">
        <v>0</v>
      </c>
      <c r="DA117" s="79">
        <v>186400</v>
      </c>
      <c r="DB117" s="79">
        <v>278192.93781189231</v>
      </c>
      <c r="DC117" s="82">
        <v>725000</v>
      </c>
      <c r="DD117" s="79">
        <v>0</v>
      </c>
      <c r="DE117" s="79"/>
      <c r="DF117" s="79">
        <v>37200</v>
      </c>
      <c r="DG117" s="79">
        <v>0</v>
      </c>
      <c r="DH117" s="83">
        <v>0</v>
      </c>
      <c r="DI117" s="79">
        <v>10754.322290793632</v>
      </c>
      <c r="DJ117" s="79">
        <v>20046056.750039328</v>
      </c>
      <c r="DK117" s="84">
        <v>-3.9327889680862427E-5</v>
      </c>
      <c r="DL117" s="84">
        <v>0</v>
      </c>
      <c r="DM117" s="84">
        <f t="shared" si="6"/>
        <v>20046056.75</v>
      </c>
      <c r="DN117" s="116">
        <f t="shared" si="7"/>
        <v>0</v>
      </c>
      <c r="DO117" s="116">
        <f t="shared" si="8"/>
        <v>0</v>
      </c>
      <c r="DP117" s="116">
        <f t="shared" si="9"/>
        <v>89.000000000000043</v>
      </c>
      <c r="DQ117" s="116">
        <f t="shared" si="10"/>
        <v>35</v>
      </c>
      <c r="DR117" s="116">
        <f t="shared" si="11"/>
        <v>6</v>
      </c>
    </row>
    <row r="118" spans="1:122" x14ac:dyDescent="0.25">
      <c r="A118" s="76">
        <v>464</v>
      </c>
      <c r="B118" s="76" t="s">
        <v>258</v>
      </c>
      <c r="C118" s="77" t="s">
        <v>138</v>
      </c>
      <c r="D118" s="41">
        <v>7</v>
      </c>
      <c r="E118" s="78">
        <v>400</v>
      </c>
      <c r="F118" s="78">
        <v>324.13201320132009</v>
      </c>
      <c r="G118" s="115">
        <f>'[8]FY20 Initial Budget Allocat (2)'!G118/'FY20 Initial Budget Allocat FTE'!G$121</f>
        <v>1</v>
      </c>
      <c r="H118" s="115">
        <f>'[8]FY20 Initial Budget Allocat (2)'!H118/'FY20 Initial Budget Allocat FTE'!H$121</f>
        <v>1</v>
      </c>
      <c r="I118" s="115">
        <f>'[8]FY20 Initial Budget Allocat (2)'!I118/'FY20 Initial Budget Allocat FTE'!I$121</f>
        <v>1.3</v>
      </c>
      <c r="J118" s="115">
        <f>'[8]FY20 Initial Budget Allocat (2)'!J118/'FY20 Initial Budget Allocat FTE'!J$121</f>
        <v>0</v>
      </c>
      <c r="K118" s="115">
        <f>'[8]FY20 Initial Budget Allocat (2)'!K118/'FY20 Initial Budget Allocat FTE'!K$121</f>
        <v>1.9999931468817527</v>
      </c>
      <c r="L118" s="115">
        <f>'[8]FY20 Initial Budget Allocat (2)'!L118/'FY20 Initial Budget Allocat FTE'!L$121</f>
        <v>1</v>
      </c>
      <c r="M118" s="115">
        <f>'[8]FY20 Initial Budget Allocat (2)'!M118/'FY20 Initial Budget Allocat FTE'!M$121</f>
        <v>1</v>
      </c>
      <c r="N118" s="115">
        <f>'[8]FY20 Initial Budget Allocat (2)'!N118/'FY20 Initial Budget Allocat FTE'!N$121</f>
        <v>1</v>
      </c>
      <c r="O118" s="115">
        <f>'[8]FY20 Initial Budget Allocat (2)'!O118/'FY20 Initial Budget Allocat FTE'!O$121</f>
        <v>1</v>
      </c>
      <c r="P118" s="115">
        <f>'[8]FY20 Initial Budget Allocat (2)'!P118/'FY20 Initial Budget Allocat FTE'!P$121</f>
        <v>1</v>
      </c>
      <c r="Q118" s="115">
        <f>'[8]FY20 Initial Budget Allocat (2)'!Q118/'FY20 Initial Budget Allocat FTE'!Q$121</f>
        <v>0</v>
      </c>
      <c r="R118" s="115">
        <f>'[8]FY20 Initial Budget Allocat (2)'!R118/'FY20 Initial Budget Allocat FTE'!R$121</f>
        <v>1</v>
      </c>
      <c r="S118" s="115">
        <f>'[8]FY20 Initial Budget Allocat (2)'!S118/'FY20 Initial Budget Allocat FTE'!S$121</f>
        <v>1</v>
      </c>
      <c r="T118" s="115">
        <f>'[8]FY20 Initial Budget Allocat (2)'!T118/'FY20 Initial Budget Allocat FTE'!T$121</f>
        <v>4</v>
      </c>
      <c r="U118" s="115">
        <f>'[8]FY20 Initial Budget Allocat (2)'!U118/'FY20 Initial Budget Allocat FTE'!U$121</f>
        <v>1</v>
      </c>
      <c r="V118" s="115">
        <f>'[8]FY20 Initial Budget Allocat (2)'!V118/'FY20 Initial Budget Allocat FTE'!V$121</f>
        <v>0</v>
      </c>
      <c r="W118" s="115">
        <f>'[8]FY20 Initial Budget Allocat (2)'!W118/'FY20 Initial Budget Allocat FTE'!W$121</f>
        <v>0</v>
      </c>
      <c r="X118" s="115">
        <f>'[8]FY20 Initial Budget Allocat (2)'!X118/'FY20 Initial Budget Allocat FTE'!X$121</f>
        <v>0</v>
      </c>
      <c r="Y118" s="115">
        <f>'[8]FY20 Initial Budget Allocat (2)'!Y118/'FY20 Initial Budget Allocat FTE'!Y$121</f>
        <v>0</v>
      </c>
      <c r="Z118" s="115">
        <f>'[8]FY20 Initial Budget Allocat (2)'!Z118/'FY20 Initial Budget Allocat FTE'!Z$121</f>
        <v>0</v>
      </c>
      <c r="AA118" s="115">
        <f>'[8]FY20 Initial Budget Allocat (2)'!AA118/'FY20 Initial Budget Allocat FTE'!AA$121</f>
        <v>0</v>
      </c>
      <c r="AB118" s="115">
        <f>'[8]FY20 Initial Budget Allocat (2)'!AB118/'FY20 Initial Budget Allocat FTE'!AB$121</f>
        <v>0</v>
      </c>
      <c r="AC118" s="115">
        <f>'[8]FY20 Initial Budget Allocat (2)'!AC118/'FY20 Initial Budget Allocat FTE'!AC$121</f>
        <v>0</v>
      </c>
      <c r="AD118" s="115">
        <f>'[8]FY20 Initial Budget Allocat (2)'!AD118/'FY20 Initial Budget Allocat FTE'!AD$121</f>
        <v>0</v>
      </c>
      <c r="AE118" s="115">
        <f>'[8]FY20 Initial Budget Allocat (2)'!AE118/'FY20 Initial Budget Allocat FTE'!AE$121</f>
        <v>0</v>
      </c>
      <c r="AF118" s="115">
        <f>'[8]FY20 Initial Budget Allocat (2)'!AF118/'FY20 Initial Budget Allocat FTE'!AF$121</f>
        <v>0</v>
      </c>
      <c r="AG118" s="115">
        <f>'[8]FY20 Initial Budget Allocat (2)'!AG118/'FY20 Initial Budget Allocat FTE'!AG$121</f>
        <v>0</v>
      </c>
      <c r="AH118" s="115">
        <f>'[8]FY20 Initial Budget Allocat (2)'!AH118/'FY20 Initial Budget Allocat FTE'!AH$121</f>
        <v>0</v>
      </c>
      <c r="AI118" s="115">
        <f>'[8]FY20 Initial Budget Allocat (2)'!AI118/'FY20 Initial Budget Allocat FTE'!AI$121</f>
        <v>0</v>
      </c>
      <c r="AJ118" s="115">
        <f>'[8]FY20 Initial Budget Allocat (2)'!AJ118/'FY20 Initial Budget Allocat FTE'!AJ$121</f>
        <v>0</v>
      </c>
      <c r="AK118" s="115">
        <f>'[8]FY20 Initial Budget Allocat (2)'!AK118/'FY20 Initial Budget Allocat FTE'!AK$121</f>
        <v>0</v>
      </c>
      <c r="AL118" s="115">
        <f>'[8]FY20 Initial Budget Allocat (2)'!AL118/'FY20 Initial Budget Allocat FTE'!AL$121</f>
        <v>0</v>
      </c>
      <c r="AM118" s="115">
        <f>'[8]FY20 Initial Budget Allocat (2)'!AM118/'FY20 Initial Budget Allocat FTE'!AM$121</f>
        <v>0</v>
      </c>
      <c r="AN118" s="115">
        <f>'[8]FY20 Initial Budget Allocat (2)'!AN118/'FY20 Initial Budget Allocat FTE'!AN$121</f>
        <v>0</v>
      </c>
      <c r="AO118" s="115">
        <f>'[8]FY20 Initial Budget Allocat (2)'!AO118/'FY20 Initial Budget Allocat FTE'!AO$121</f>
        <v>0</v>
      </c>
      <c r="AP118" s="115">
        <f>'[8]FY20 Initial Budget Allocat (2)'!AP118/'FY20 Initial Budget Allocat FTE'!AP$121</f>
        <v>0</v>
      </c>
      <c r="AQ118" s="115">
        <f>'[8]FY20 Initial Budget Allocat (2)'!AQ118/'FY20 Initial Budget Allocat FTE'!AQ$121</f>
        <v>0</v>
      </c>
      <c r="AR118" s="115">
        <f>'[8]FY20 Initial Budget Allocat (2)'!AR118/'FY20 Initial Budget Allocat FTE'!AR$121</f>
        <v>0</v>
      </c>
      <c r="AS118" s="115">
        <f>'[8]FY20 Initial Budget Allocat (2)'!AS118/'FY20 Initial Budget Allocat FTE'!AS$121</f>
        <v>0</v>
      </c>
      <c r="AT118" s="115">
        <f>'[8]FY20 Initial Budget Allocat (2)'!AT118/'FY20 Initial Budget Allocat FTE'!AT$121</f>
        <v>0</v>
      </c>
      <c r="AU118" s="115">
        <f>'[8]FY20 Initial Budget Allocat (2)'!AU118/'FY20 Initial Budget Allocat FTE'!AU$121</f>
        <v>0</v>
      </c>
      <c r="AV118" s="115">
        <f>'[8]FY20 Initial Budget Allocat (2)'!AV118/'FY20 Initial Budget Allocat FTE'!AV$121</f>
        <v>16.666666666666668</v>
      </c>
      <c r="AW118" s="115">
        <f>'[8]FY20 Initial Budget Allocat (2)'!AW118/'FY20 Initial Budget Allocat FTE'!AW$121</f>
        <v>10.224641895169988</v>
      </c>
      <c r="AX118" s="115">
        <f>'[8]FY20 Initial Budget Allocat (2)'!AX118/'FY20 Initial Budget Allocat FTE'!AX$121</f>
        <v>1</v>
      </c>
      <c r="AY118" s="115">
        <f>'[8]FY20 Initial Budget Allocat (2)'!AY118/'FY20 Initial Budget Allocat FTE'!AY$121</f>
        <v>4</v>
      </c>
      <c r="AZ118" s="115">
        <f>'[8]FY20 Initial Budget Allocat (2)'!AZ118/'FY20 Initial Budget Allocat FTE'!AZ$121</f>
        <v>11</v>
      </c>
      <c r="BA118" s="115">
        <f>'[8]FY20 Initial Budget Allocat (2)'!BA118/'FY20 Initial Budget Allocat FTE'!BA$121</f>
        <v>5</v>
      </c>
      <c r="BB118" s="115">
        <f>'[8]FY20 Initial Budget Allocat (2)'!BB118/'FY20 Initial Budget Allocat FTE'!BB$121</f>
        <v>2</v>
      </c>
      <c r="BC118" s="115">
        <f>'[8]FY20 Initial Budget Allocat (2)'!BC118/'FY20 Initial Budget Allocat FTE'!BC$121</f>
        <v>0</v>
      </c>
      <c r="BD118" s="115">
        <f>'[8]FY20 Initial Budget Allocat (2)'!BD118/'FY20 Initial Budget Allocat FTE'!BD$121</f>
        <v>0.22727272727272727</v>
      </c>
      <c r="BE118" s="115">
        <f>'[8]FY20 Initial Budget Allocat (2)'!BE118/'FY20 Initial Budget Allocat FTE'!BE$121</f>
        <v>0</v>
      </c>
      <c r="BF118" s="115">
        <f>'[8]FY20 Initial Budget Allocat (2)'!BF118/'FY20 Initial Budget Allocat FTE'!BF$121</f>
        <v>0</v>
      </c>
      <c r="BG118" s="115">
        <f>'[8]FY20 Initial Budget Allocat (2)'!BG118/'FY20 Initial Budget Allocat FTE'!BG$121</f>
        <v>0</v>
      </c>
      <c r="BH118" s="115">
        <f>'[8]FY20 Initial Budget Allocat (2)'!BH118/'FY20 Initial Budget Allocat FTE'!BH$121</f>
        <v>0</v>
      </c>
      <c r="BI118" s="115">
        <f>'[8]FY20 Initial Budget Allocat (2)'!BI118/'FY20 Initial Budget Allocat FTE'!BI$121</f>
        <v>0</v>
      </c>
      <c r="BJ118" s="79"/>
      <c r="BK118" s="79">
        <v>60000</v>
      </c>
      <c r="BL118" s="79"/>
      <c r="BM118" s="79">
        <v>230088.34</v>
      </c>
      <c r="BN118" s="79">
        <v>3661.3</v>
      </c>
      <c r="BO118" s="79">
        <v>0</v>
      </c>
      <c r="BP118" s="115">
        <f>'[8]FY20 Initial Budget Allocat (2)'!BP118/'FY20 Initial Budget Allocat FTE'!BP$121</f>
        <v>0</v>
      </c>
      <c r="BQ118" s="115">
        <f>'[8]FY20 Initial Budget Allocat (2)'!BQ118/'FY20 Initial Budget Allocat FTE'!BQ$121</f>
        <v>0</v>
      </c>
      <c r="BR118" s="115">
        <f>'[8]FY20 Initial Budget Allocat (2)'!BR118/'FY20 Initial Budget Allocat FTE'!BR$121</f>
        <v>0</v>
      </c>
      <c r="BS118" s="115">
        <f>'[8]FY20 Initial Budget Allocat (2)'!BS118/'FY20 Initial Budget Allocat FTE'!BS$121</f>
        <v>0</v>
      </c>
      <c r="BT118" s="115">
        <f>'[8]FY20 Initial Budget Allocat (2)'!BT118/'FY20 Initial Budget Allocat FTE'!BT$121</f>
        <v>0</v>
      </c>
      <c r="BU118" s="115">
        <f>'[8]FY20 Initial Budget Allocat (2)'!BU118/'FY20 Initial Budget Allocat FTE'!BU$121</f>
        <v>0</v>
      </c>
      <c r="BV118" s="115">
        <f>'[8]FY20 Initial Budget Allocat (2)'!BV118/'FY20 Initial Budget Allocat FTE'!BV$121</f>
        <v>1</v>
      </c>
      <c r="BW118" s="80">
        <v>30000</v>
      </c>
      <c r="BX118" s="80">
        <v>19000</v>
      </c>
      <c r="BY118" s="80">
        <v>0</v>
      </c>
      <c r="BZ118" s="80">
        <v>90000</v>
      </c>
      <c r="CA118" s="115">
        <f>'[8]FY20 Initial Budget Allocat (2)'!CA118/'FY20 Initial Budget Allocat FTE'!CA$121</f>
        <v>0</v>
      </c>
      <c r="CB118" s="115">
        <f>'[8]FY20 Initial Budget Allocat (2)'!CB118/'FY20 Initial Budget Allocat FTE'!CB$121</f>
        <v>0</v>
      </c>
      <c r="CC118" s="80">
        <v>23700</v>
      </c>
      <c r="CD118" s="115">
        <f>'[8]FY20 Initial Budget Allocat (2)'!CD118/'FY20 Initial Budget Allocat FTE'!CD$121</f>
        <v>2</v>
      </c>
      <c r="CE118" s="115">
        <f>'[8]FY20 Initial Budget Allocat (2)'!CE118/'FY20 Initial Budget Allocat FTE'!CE$121</f>
        <v>0</v>
      </c>
      <c r="CF118" s="115">
        <f>'[8]FY20 Initial Budget Allocat (2)'!CF118/'FY20 Initial Budget Allocat FTE'!CF$121</f>
        <v>2</v>
      </c>
      <c r="CG118" s="115">
        <f>'[8]FY20 Initial Budget Allocat (2)'!CG118/'FY20 Initial Budget Allocat FTE'!CG$121</f>
        <v>2</v>
      </c>
      <c r="CH118" s="115">
        <f>'[8]FY20 Initial Budget Allocat (2)'!CH118/'FY20 Initial Budget Allocat FTE'!CH$121</f>
        <v>1</v>
      </c>
      <c r="CI118" s="115">
        <f>'[8]FY20 Initial Budget Allocat (2)'!CI118/'FY20 Initial Budget Allocat FTE'!CI$121</f>
        <v>0</v>
      </c>
      <c r="CJ118" s="115">
        <f>'[8]FY20 Initial Budget Allocat (2)'!CJ118/'FY20 Initial Budget Allocat FTE'!CJ$121</f>
        <v>0</v>
      </c>
      <c r="CK118" s="79">
        <v>0</v>
      </c>
      <c r="CL118" s="79">
        <v>0</v>
      </c>
      <c r="CM118" s="79">
        <v>590096.19999999995</v>
      </c>
      <c r="CN118" s="79">
        <v>0</v>
      </c>
      <c r="CO118" s="115">
        <f>'[8]FY20 Initial Budget Allocat (2)'!CO118/'FY20 Initial Budget Allocat FTE'!CO$121</f>
        <v>1</v>
      </c>
      <c r="CP118" s="79">
        <v>0</v>
      </c>
      <c r="CQ118" s="79">
        <v>12965.280528052805</v>
      </c>
      <c r="CR118" s="79">
        <v>0</v>
      </c>
      <c r="CS118" s="79">
        <v>52000.800000000003</v>
      </c>
      <c r="CT118" s="115">
        <f>'[8]FY20 Initial Budget Allocat (2)'!CT118/'FY20 Initial Budget Allocat FTE'!CT$121</f>
        <v>0</v>
      </c>
      <c r="CU118" s="115">
        <f>'[8]FY20 Initial Budget Allocat (2)'!CU118/'FY20 Initial Budget Allocat FTE'!CU$121</f>
        <v>1</v>
      </c>
      <c r="CV118" s="79"/>
      <c r="CW118" s="79">
        <v>0</v>
      </c>
      <c r="CX118" s="115">
        <f>'[8]FY20 Initial Budget Allocat (2)'!CX118/'FY20 Initial Budget Allocat FTE'!CX$121</f>
        <v>0</v>
      </c>
      <c r="CY118" s="79">
        <v>5000</v>
      </c>
      <c r="CZ118" s="91">
        <v>115407</v>
      </c>
      <c r="DA118" s="79">
        <v>40000</v>
      </c>
      <c r="DB118" s="79">
        <v>108228.83518125251</v>
      </c>
      <c r="DC118" s="82">
        <v>0</v>
      </c>
      <c r="DD118" s="79">
        <v>0</v>
      </c>
      <c r="DE118" s="79"/>
      <c r="DF118" s="79">
        <v>26400</v>
      </c>
      <c r="DG118" s="79">
        <v>287510.82571193139</v>
      </c>
      <c r="DH118" s="83">
        <v>182159.59952768311</v>
      </c>
      <c r="DI118" s="79">
        <v>23575.057792684027</v>
      </c>
      <c r="DJ118" s="79">
        <v>9423730.3932715561</v>
      </c>
      <c r="DK118" s="84">
        <v>234298.60672844388</v>
      </c>
      <c r="DL118" s="84">
        <v>128348.06</v>
      </c>
      <c r="DM118" s="84">
        <f t="shared" si="6"/>
        <v>9786377.0600000005</v>
      </c>
      <c r="DN118" s="116">
        <f t="shared" si="7"/>
        <v>0</v>
      </c>
      <c r="DO118" s="116">
        <f t="shared" si="8"/>
        <v>0</v>
      </c>
      <c r="DP118" s="116">
        <f t="shared" si="9"/>
        <v>26.891308561836656</v>
      </c>
      <c r="DQ118" s="116">
        <f t="shared" si="10"/>
        <v>16.227272727272727</v>
      </c>
      <c r="DR118" s="116">
        <f t="shared" si="11"/>
        <v>5</v>
      </c>
    </row>
    <row r="119" spans="1:122" ht="27.75" customHeight="1" x14ac:dyDescent="0.25">
      <c r="A119" s="76">
        <v>861</v>
      </c>
      <c r="B119" s="76" t="s">
        <v>259</v>
      </c>
      <c r="C119" s="77" t="s">
        <v>184</v>
      </c>
      <c r="D119" s="41">
        <v>5</v>
      </c>
      <c r="E119" s="78">
        <v>21</v>
      </c>
      <c r="F119" s="78">
        <v>0</v>
      </c>
      <c r="G119" s="115">
        <f>'[8]FY20 Initial Budget Allocat (2)'!G119/'FY20 Initial Budget Allocat FTE'!G$121</f>
        <v>1</v>
      </c>
      <c r="H119" s="115">
        <f>'[8]FY20 Initial Budget Allocat (2)'!H119/'FY20 Initial Budget Allocat FTE'!H$121</f>
        <v>0</v>
      </c>
      <c r="I119" s="115">
        <f>'[8]FY20 Initial Budget Allocat (2)'!I119/'FY20 Initial Budget Allocat FTE'!I$121</f>
        <v>0</v>
      </c>
      <c r="J119" s="115">
        <f>'[8]FY20 Initial Budget Allocat (2)'!J119/'FY20 Initial Budget Allocat FTE'!J$121</f>
        <v>0</v>
      </c>
      <c r="K119" s="115">
        <f>'[8]FY20 Initial Budget Allocat (2)'!K119/'FY20 Initial Budget Allocat FTE'!K$121</f>
        <v>0</v>
      </c>
      <c r="L119" s="115">
        <f>'[8]FY20 Initial Budget Allocat (2)'!L119/'FY20 Initial Budget Allocat FTE'!L$121</f>
        <v>0</v>
      </c>
      <c r="M119" s="115">
        <f>'[8]FY20 Initial Budget Allocat (2)'!M119/'FY20 Initial Budget Allocat FTE'!M$121</f>
        <v>1</v>
      </c>
      <c r="N119" s="115">
        <f>'[8]FY20 Initial Budget Allocat (2)'!N119/'FY20 Initial Budget Allocat FTE'!N$121</f>
        <v>1</v>
      </c>
      <c r="O119" s="115">
        <f>'[8]FY20 Initial Budget Allocat (2)'!O119/'FY20 Initial Budget Allocat FTE'!O$121</f>
        <v>0</v>
      </c>
      <c r="P119" s="115">
        <f>'[8]FY20 Initial Budget Allocat (2)'!P119/'FY20 Initial Budget Allocat FTE'!P$121</f>
        <v>0</v>
      </c>
      <c r="Q119" s="115">
        <f>'[8]FY20 Initial Budget Allocat (2)'!Q119/'FY20 Initial Budget Allocat FTE'!Q$121</f>
        <v>0</v>
      </c>
      <c r="R119" s="115">
        <f>'[8]FY20 Initial Budget Allocat (2)'!R119/'FY20 Initial Budget Allocat FTE'!R$121</f>
        <v>0</v>
      </c>
      <c r="S119" s="115">
        <f>'[8]FY20 Initial Budget Allocat (2)'!S119/'FY20 Initial Budget Allocat FTE'!S$121</f>
        <v>0</v>
      </c>
      <c r="T119" s="115">
        <f>'[8]FY20 Initial Budget Allocat (2)'!T119/'FY20 Initial Budget Allocat FTE'!T$121</f>
        <v>0</v>
      </c>
      <c r="U119" s="115">
        <f>'[8]FY20 Initial Budget Allocat (2)'!U119/'FY20 Initial Budget Allocat FTE'!U$121</f>
        <v>0</v>
      </c>
      <c r="V119" s="115">
        <f>'[8]FY20 Initial Budget Allocat (2)'!V119/'FY20 Initial Budget Allocat FTE'!V$121</f>
        <v>0</v>
      </c>
      <c r="W119" s="115">
        <f>'[8]FY20 Initial Budget Allocat (2)'!W119/'FY20 Initial Budget Allocat FTE'!W$121</f>
        <v>0</v>
      </c>
      <c r="X119" s="115">
        <f>'[8]FY20 Initial Budget Allocat (2)'!X119/'FY20 Initial Budget Allocat FTE'!X$121</f>
        <v>0</v>
      </c>
      <c r="Y119" s="115">
        <f>'[8]FY20 Initial Budget Allocat (2)'!Y119/'FY20 Initial Budget Allocat FTE'!Y$121</f>
        <v>0.5</v>
      </c>
      <c r="Z119" s="115">
        <f>'[8]FY20 Initial Budget Allocat (2)'!Z119/'FY20 Initial Budget Allocat FTE'!Z$121</f>
        <v>0</v>
      </c>
      <c r="AA119" s="115">
        <f>'[8]FY20 Initial Budget Allocat (2)'!AA119/'FY20 Initial Budget Allocat FTE'!AA$121</f>
        <v>0</v>
      </c>
      <c r="AB119" s="115">
        <f>'[8]FY20 Initial Budget Allocat (2)'!AB119/'FY20 Initial Budget Allocat FTE'!AB$121</f>
        <v>0</v>
      </c>
      <c r="AC119" s="115">
        <f>'[8]FY20 Initial Budget Allocat (2)'!AC119/'FY20 Initial Budget Allocat FTE'!AC$121</f>
        <v>0</v>
      </c>
      <c r="AD119" s="115">
        <f>'[8]FY20 Initial Budget Allocat (2)'!AD119/'FY20 Initial Budget Allocat FTE'!AD$121</f>
        <v>0</v>
      </c>
      <c r="AE119" s="115">
        <f>'[8]FY20 Initial Budget Allocat (2)'!AE119/'FY20 Initial Budget Allocat FTE'!AE$121</f>
        <v>0</v>
      </c>
      <c r="AF119" s="115">
        <f>'[8]FY20 Initial Budget Allocat (2)'!AF119/'FY20 Initial Budget Allocat FTE'!AF$121</f>
        <v>0</v>
      </c>
      <c r="AG119" s="115">
        <f>'[8]FY20 Initial Budget Allocat (2)'!AG119/'FY20 Initial Budget Allocat FTE'!AG$121</f>
        <v>0</v>
      </c>
      <c r="AH119" s="115">
        <f>'[8]FY20 Initial Budget Allocat (2)'!AH119/'FY20 Initial Budget Allocat FTE'!AH$121</f>
        <v>0</v>
      </c>
      <c r="AI119" s="115">
        <f>'[8]FY20 Initial Budget Allocat (2)'!AI119/'FY20 Initial Budget Allocat FTE'!AI$121</f>
        <v>0</v>
      </c>
      <c r="AJ119" s="115">
        <f>'[8]FY20 Initial Budget Allocat (2)'!AJ119/'FY20 Initial Budget Allocat FTE'!AJ$121</f>
        <v>0</v>
      </c>
      <c r="AK119" s="115">
        <f>'[8]FY20 Initial Budget Allocat (2)'!AK119/'FY20 Initial Budget Allocat FTE'!AK$121</f>
        <v>0</v>
      </c>
      <c r="AL119" s="115">
        <f>'[8]FY20 Initial Budget Allocat (2)'!AL119/'FY20 Initial Budget Allocat FTE'!AL$121</f>
        <v>0</v>
      </c>
      <c r="AM119" s="115">
        <f>'[8]FY20 Initial Budget Allocat (2)'!AM119/'FY20 Initial Budget Allocat FTE'!AM$121</f>
        <v>0</v>
      </c>
      <c r="AN119" s="115">
        <f>'[8]FY20 Initial Budget Allocat (2)'!AN119/'FY20 Initial Budget Allocat FTE'!AN$121</f>
        <v>0</v>
      </c>
      <c r="AO119" s="115">
        <f>'[8]FY20 Initial Budget Allocat (2)'!AO119/'FY20 Initial Budget Allocat FTE'!AO$121</f>
        <v>1</v>
      </c>
      <c r="AP119" s="115">
        <f>'[8]FY20 Initial Budget Allocat (2)'!AP119/'FY20 Initial Budget Allocat FTE'!AP$121</f>
        <v>1</v>
      </c>
      <c r="AQ119" s="115">
        <f>'[8]FY20 Initial Budget Allocat (2)'!AQ119/'FY20 Initial Budget Allocat FTE'!AQ$121</f>
        <v>1</v>
      </c>
      <c r="AR119" s="115">
        <f>'[8]FY20 Initial Budget Allocat (2)'!AR119/'FY20 Initial Budget Allocat FTE'!AR$121</f>
        <v>1</v>
      </c>
      <c r="AS119" s="115">
        <f>'[8]FY20 Initial Budget Allocat (2)'!AS119/'FY20 Initial Budget Allocat FTE'!AS$121</f>
        <v>1</v>
      </c>
      <c r="AT119" s="115">
        <f>'[8]FY20 Initial Budget Allocat (2)'!AT119/'FY20 Initial Budget Allocat FTE'!AT$121</f>
        <v>0</v>
      </c>
      <c r="AU119" s="115">
        <f>'[8]FY20 Initial Budget Allocat (2)'!AU119/'FY20 Initial Budget Allocat FTE'!AU$121</f>
        <v>0</v>
      </c>
      <c r="AV119" s="115">
        <f>'[8]FY20 Initial Budget Allocat (2)'!AV119/'FY20 Initial Budget Allocat FTE'!AV$121</f>
        <v>0</v>
      </c>
      <c r="AW119" s="115">
        <f>'[8]FY20 Initial Budget Allocat (2)'!AW119/'FY20 Initial Budget Allocat FTE'!AW$121</f>
        <v>0</v>
      </c>
      <c r="AX119" s="115">
        <f>'[8]FY20 Initial Budget Allocat (2)'!AX119/'FY20 Initial Budget Allocat FTE'!AX$121</f>
        <v>0.5</v>
      </c>
      <c r="AY119" s="115">
        <f>'[8]FY20 Initial Budget Allocat (2)'!AY119/'FY20 Initial Budget Allocat FTE'!AY$121</f>
        <v>2</v>
      </c>
      <c r="AZ119" s="115">
        <f>'[8]FY20 Initial Budget Allocat (2)'!AZ119/'FY20 Initial Budget Allocat FTE'!AZ$121</f>
        <v>4</v>
      </c>
      <c r="BA119" s="115">
        <f>'[8]FY20 Initial Budget Allocat (2)'!BA119/'FY20 Initial Budget Allocat FTE'!BA$121</f>
        <v>0</v>
      </c>
      <c r="BB119" s="115">
        <f>'[8]FY20 Initial Budget Allocat (2)'!BB119/'FY20 Initial Budget Allocat FTE'!BB$121</f>
        <v>0</v>
      </c>
      <c r="BC119" s="115">
        <f>'[8]FY20 Initial Budget Allocat (2)'!BC119/'FY20 Initial Budget Allocat FTE'!BC$121</f>
        <v>0</v>
      </c>
      <c r="BD119" s="115">
        <f>'[8]FY20 Initial Budget Allocat (2)'!BD119/'FY20 Initial Budget Allocat FTE'!BD$121</f>
        <v>9.0909090909090912E-2</v>
      </c>
      <c r="BE119" s="115">
        <f>'[8]FY20 Initial Budget Allocat (2)'!BE119/'FY20 Initial Budget Allocat FTE'!BE$121</f>
        <v>0</v>
      </c>
      <c r="BF119" s="115">
        <f>'[8]FY20 Initial Budget Allocat (2)'!BF119/'FY20 Initial Budget Allocat FTE'!BF$121</f>
        <v>0</v>
      </c>
      <c r="BG119" s="115">
        <f>'[8]FY20 Initial Budget Allocat (2)'!BG119/'FY20 Initial Budget Allocat FTE'!BG$121</f>
        <v>0</v>
      </c>
      <c r="BH119" s="115">
        <f>'[8]FY20 Initial Budget Allocat (2)'!BH119/'FY20 Initial Budget Allocat FTE'!BH$121</f>
        <v>0</v>
      </c>
      <c r="BI119" s="115">
        <f>'[8]FY20 Initial Budget Allocat (2)'!BI119/'FY20 Initial Budget Allocat FTE'!BI$121</f>
        <v>0</v>
      </c>
      <c r="BJ119" s="79">
        <v>20000</v>
      </c>
      <c r="BK119" s="79">
        <v>0</v>
      </c>
      <c r="BL119" s="79"/>
      <c r="BM119" s="79">
        <v>0</v>
      </c>
      <c r="BN119" s="79">
        <v>0</v>
      </c>
      <c r="BO119" s="79">
        <v>1300</v>
      </c>
      <c r="BP119" s="115">
        <f>'[8]FY20 Initial Budget Allocat (2)'!BP119/'FY20 Initial Budget Allocat FTE'!BP$121</f>
        <v>0</v>
      </c>
      <c r="BQ119" s="115">
        <f>'[8]FY20 Initial Budget Allocat (2)'!BQ119/'FY20 Initial Budget Allocat FTE'!BQ$121</f>
        <v>0</v>
      </c>
      <c r="BR119" s="115">
        <f>'[8]FY20 Initial Budget Allocat (2)'!BR119/'FY20 Initial Budget Allocat FTE'!BR$121</f>
        <v>0</v>
      </c>
      <c r="BS119" s="115">
        <f>'[8]FY20 Initial Budget Allocat (2)'!BS119/'FY20 Initial Budget Allocat FTE'!BS$121</f>
        <v>0</v>
      </c>
      <c r="BT119" s="115">
        <f>'[8]FY20 Initial Budget Allocat (2)'!BT119/'FY20 Initial Budget Allocat FTE'!BT$121</f>
        <v>0</v>
      </c>
      <c r="BU119" s="115">
        <f>'[8]FY20 Initial Budget Allocat (2)'!BU119/'FY20 Initial Budget Allocat FTE'!BU$121</f>
        <v>0</v>
      </c>
      <c r="BV119" s="115">
        <f>'[8]FY20 Initial Budget Allocat (2)'!BV119/'FY20 Initial Budget Allocat FTE'!BV$121</f>
        <v>0</v>
      </c>
      <c r="BW119" s="80">
        <v>0</v>
      </c>
      <c r="BX119" s="80">
        <v>0</v>
      </c>
      <c r="BY119" s="80">
        <v>0</v>
      </c>
      <c r="BZ119" s="80">
        <v>0</v>
      </c>
      <c r="CA119" s="115">
        <f>'[8]FY20 Initial Budget Allocat (2)'!CA119/'FY20 Initial Budget Allocat FTE'!CA$121</f>
        <v>0</v>
      </c>
      <c r="CB119" s="115">
        <f>'[8]FY20 Initial Budget Allocat (2)'!CB119/'FY20 Initial Budget Allocat FTE'!CB$121</f>
        <v>0</v>
      </c>
      <c r="CC119" s="80">
        <v>0</v>
      </c>
      <c r="CD119" s="115">
        <f>'[8]FY20 Initial Budget Allocat (2)'!CD119/'FY20 Initial Budget Allocat FTE'!CD$121</f>
        <v>0</v>
      </c>
      <c r="CE119" s="115">
        <f>'[8]FY20 Initial Budget Allocat (2)'!CE119/'FY20 Initial Budget Allocat FTE'!CE$121</f>
        <v>0</v>
      </c>
      <c r="CF119" s="115">
        <f>'[8]FY20 Initial Budget Allocat (2)'!CF119/'FY20 Initial Budget Allocat FTE'!CF$121</f>
        <v>0</v>
      </c>
      <c r="CG119" s="115">
        <f>'[8]FY20 Initial Budget Allocat (2)'!CG119/'FY20 Initial Budget Allocat FTE'!CG$121</f>
        <v>0</v>
      </c>
      <c r="CH119" s="115">
        <f>'[8]FY20 Initial Budget Allocat (2)'!CH119/'FY20 Initial Budget Allocat FTE'!CH$121</f>
        <v>0</v>
      </c>
      <c r="CI119" s="115">
        <f>'[8]FY20 Initial Budget Allocat (2)'!CI119/'FY20 Initial Budget Allocat FTE'!CI$121</f>
        <v>0</v>
      </c>
      <c r="CJ119" s="115">
        <f>'[8]FY20 Initial Budget Allocat (2)'!CJ119/'FY20 Initial Budget Allocat FTE'!CJ$121</f>
        <v>0</v>
      </c>
      <c r="CK119" s="79">
        <v>0</v>
      </c>
      <c r="CL119" s="79">
        <v>0</v>
      </c>
      <c r="CM119" s="79">
        <v>0</v>
      </c>
      <c r="CN119" s="79">
        <v>0</v>
      </c>
      <c r="CO119" s="115">
        <f>'[8]FY20 Initial Budget Allocat (2)'!CO119/'FY20 Initial Budget Allocat FTE'!CO$121</f>
        <v>0</v>
      </c>
      <c r="CP119" s="79">
        <v>0</v>
      </c>
      <c r="CQ119" s="79">
        <v>0</v>
      </c>
      <c r="CR119" s="79">
        <v>0</v>
      </c>
      <c r="CS119" s="79">
        <v>0</v>
      </c>
      <c r="CT119" s="115">
        <f>'[8]FY20 Initial Budget Allocat (2)'!CT119/'FY20 Initial Budget Allocat FTE'!CT$121</f>
        <v>0</v>
      </c>
      <c r="CU119" s="115">
        <f>'[8]FY20 Initial Budget Allocat (2)'!CU119/'FY20 Initial Budget Allocat FTE'!CU$121</f>
        <v>0</v>
      </c>
      <c r="CV119" s="79"/>
      <c r="CW119" s="79">
        <v>0</v>
      </c>
      <c r="CX119" s="115">
        <f>'[8]FY20 Initial Budget Allocat (2)'!CX119/'FY20 Initial Budget Allocat FTE'!CX$121</f>
        <v>0</v>
      </c>
      <c r="CY119" s="79">
        <v>0</v>
      </c>
      <c r="CZ119" s="79">
        <v>0</v>
      </c>
      <c r="DA119" s="79">
        <v>2100</v>
      </c>
      <c r="DB119" s="79">
        <v>25702.408962995378</v>
      </c>
      <c r="DC119" s="82">
        <v>0</v>
      </c>
      <c r="DD119" s="79">
        <v>864788</v>
      </c>
      <c r="DE119" s="79">
        <v>750</v>
      </c>
      <c r="DG119" s="79">
        <v>0</v>
      </c>
      <c r="DH119" s="83">
        <v>0</v>
      </c>
      <c r="DI119" s="79">
        <v>119574.44409139191</v>
      </c>
      <c r="DJ119" s="79">
        <v>2511063.3259192295</v>
      </c>
      <c r="DK119" s="84">
        <v>-11063.325919229537</v>
      </c>
      <c r="DL119" s="84">
        <v>24214.31</v>
      </c>
      <c r="DM119" s="84">
        <f t="shared" si="6"/>
        <v>2524214.31</v>
      </c>
      <c r="DN119" s="116">
        <f t="shared" si="7"/>
        <v>0</v>
      </c>
      <c r="DO119" s="116">
        <f t="shared" si="8"/>
        <v>0</v>
      </c>
      <c r="DP119" s="116">
        <f t="shared" si="9"/>
        <v>5</v>
      </c>
      <c r="DQ119" s="116">
        <f t="shared" si="10"/>
        <v>6.5909090909090908</v>
      </c>
      <c r="DR119" s="116">
        <f t="shared" si="11"/>
        <v>0</v>
      </c>
    </row>
    <row r="120" spans="1:122" s="72" customFormat="1" x14ac:dyDescent="0.25">
      <c r="A120" s="104"/>
      <c r="B120" s="104"/>
      <c r="C120" s="104"/>
      <c r="D120" s="104"/>
      <c r="E120" s="88">
        <f>SUM(E3:E119)</f>
        <v>50003</v>
      </c>
      <c r="F120" s="88">
        <f>SUM(F3:F119)</f>
        <v>25219.037597286275</v>
      </c>
      <c r="G120" s="116">
        <f>SUM(G3:G119)</f>
        <v>112.99999861232605</v>
      </c>
      <c r="H120" s="116">
        <f t="shared" ref="H120:BW120" si="12">SUM(H3:H119)</f>
        <v>115.5</v>
      </c>
      <c r="I120" s="116">
        <f t="shared" si="12"/>
        <v>129.69333019709134</v>
      </c>
      <c r="J120" s="116">
        <f t="shared" si="12"/>
        <v>34.9</v>
      </c>
      <c r="K120" s="116">
        <f t="shared" si="12"/>
        <v>51.605826595548983</v>
      </c>
      <c r="L120" s="116">
        <f t="shared" si="12"/>
        <v>98.5</v>
      </c>
      <c r="M120" s="116">
        <f t="shared" si="12"/>
        <v>117.00000545544231</v>
      </c>
      <c r="N120" s="116">
        <f t="shared" si="12"/>
        <v>81.099999999999994</v>
      </c>
      <c r="O120" s="116">
        <f t="shared" si="12"/>
        <v>20</v>
      </c>
      <c r="P120" s="116">
        <f t="shared" si="12"/>
        <v>19.999999999999993</v>
      </c>
      <c r="Q120" s="116">
        <f t="shared" si="12"/>
        <v>6</v>
      </c>
      <c r="R120" s="116">
        <f t="shared" si="12"/>
        <v>115.00000235317175</v>
      </c>
      <c r="S120" s="116">
        <f t="shared" si="12"/>
        <v>114.99999292053667</v>
      </c>
      <c r="T120" s="116">
        <f t="shared" si="12"/>
        <v>316.00000537704352</v>
      </c>
      <c r="U120" s="116">
        <f t="shared" si="12"/>
        <v>99.999998734363857</v>
      </c>
      <c r="V120" s="116">
        <f t="shared" si="12"/>
        <v>80</v>
      </c>
      <c r="W120" s="116">
        <f t="shared" si="12"/>
        <v>80</v>
      </c>
      <c r="X120" s="116">
        <f t="shared" si="12"/>
        <v>80</v>
      </c>
      <c r="Y120" s="116">
        <f t="shared" si="12"/>
        <v>53.500000000000021</v>
      </c>
      <c r="Z120" s="116">
        <f t="shared" si="12"/>
        <v>20</v>
      </c>
      <c r="AA120" s="116">
        <f t="shared" si="12"/>
        <v>128</v>
      </c>
      <c r="AB120" s="116">
        <f t="shared" si="12"/>
        <v>128</v>
      </c>
      <c r="AC120" s="116">
        <f t="shared" si="12"/>
        <v>87</v>
      </c>
      <c r="AD120" s="116">
        <f t="shared" si="12"/>
        <v>92</v>
      </c>
      <c r="AE120" s="116">
        <f t="shared" si="12"/>
        <v>155</v>
      </c>
      <c r="AF120" s="116">
        <f t="shared" si="12"/>
        <v>155</v>
      </c>
      <c r="AG120" s="116">
        <f t="shared" si="12"/>
        <v>212</v>
      </c>
      <c r="AH120" s="116">
        <f t="shared" si="12"/>
        <v>212</v>
      </c>
      <c r="AI120" s="116">
        <f t="shared" si="12"/>
        <v>205</v>
      </c>
      <c r="AJ120" s="116">
        <f t="shared" si="12"/>
        <v>202</v>
      </c>
      <c r="AK120" s="116">
        <f t="shared" si="12"/>
        <v>196</v>
      </c>
      <c r="AL120" s="116">
        <f t="shared" si="12"/>
        <v>184</v>
      </c>
      <c r="AM120" s="116">
        <f t="shared" si="12"/>
        <v>175</v>
      </c>
      <c r="AN120" s="116">
        <f t="shared" si="12"/>
        <v>125.10000000000001</v>
      </c>
      <c r="AO120" s="116">
        <f t="shared" si="12"/>
        <v>131.10000000000002</v>
      </c>
      <c r="AP120" s="116">
        <f t="shared" si="12"/>
        <v>117.4</v>
      </c>
      <c r="AQ120" s="116">
        <f t="shared" si="12"/>
        <v>46.1</v>
      </c>
      <c r="AR120" s="116">
        <f t="shared" si="12"/>
        <v>39.000000000000007</v>
      </c>
      <c r="AS120" s="116">
        <f t="shared" si="12"/>
        <v>33.700000000000003</v>
      </c>
      <c r="AT120" s="116">
        <f t="shared" si="12"/>
        <v>30.700000000000003</v>
      </c>
      <c r="AU120" s="116">
        <f t="shared" si="12"/>
        <v>5.5</v>
      </c>
      <c r="AV120" s="116">
        <f t="shared" si="12"/>
        <v>344.14166666666671</v>
      </c>
      <c r="AW120" s="116">
        <f t="shared" si="12"/>
        <v>95.657293396944254</v>
      </c>
      <c r="AX120" s="116">
        <f t="shared" si="12"/>
        <v>106.99222250896304</v>
      </c>
      <c r="AY120" s="116">
        <f t="shared" si="12"/>
        <v>222.99999746872771</v>
      </c>
      <c r="AZ120" s="116">
        <f t="shared" si="12"/>
        <v>777.49999746872777</v>
      </c>
      <c r="BA120" s="116">
        <f t="shared" si="12"/>
        <v>386</v>
      </c>
      <c r="BB120" s="116">
        <f t="shared" si="12"/>
        <v>46</v>
      </c>
      <c r="BC120" s="116">
        <f t="shared" si="12"/>
        <v>11</v>
      </c>
      <c r="BD120" s="116">
        <f t="shared" si="12"/>
        <v>359.22727272727263</v>
      </c>
      <c r="BE120" s="116">
        <f t="shared" si="12"/>
        <v>6</v>
      </c>
      <c r="BF120" s="116">
        <f t="shared" si="12"/>
        <v>48.806373380285422</v>
      </c>
      <c r="BG120" s="116">
        <f t="shared" si="12"/>
        <v>125.63894086201135</v>
      </c>
      <c r="BH120" s="116">
        <f t="shared" si="12"/>
        <v>334</v>
      </c>
      <c r="BI120" s="116">
        <f t="shared" si="12"/>
        <v>47</v>
      </c>
      <c r="BJ120" s="81">
        <f t="shared" si="12"/>
        <v>310000</v>
      </c>
      <c r="BK120" s="81">
        <f t="shared" si="12"/>
        <v>810000</v>
      </c>
      <c r="BL120" s="81"/>
      <c r="BM120" s="81">
        <f t="shared" si="12"/>
        <v>15488514.630000001</v>
      </c>
      <c r="BN120" s="81">
        <f t="shared" si="12"/>
        <v>246462.35999999993</v>
      </c>
      <c r="BO120" s="81">
        <f t="shared" si="12"/>
        <v>360325</v>
      </c>
      <c r="BP120" s="116">
        <f t="shared" si="12"/>
        <v>7.1102364974049923</v>
      </c>
      <c r="BQ120" s="116">
        <f t="shared" si="12"/>
        <v>7</v>
      </c>
      <c r="BR120" s="116">
        <f t="shared" si="12"/>
        <v>9</v>
      </c>
      <c r="BS120" s="116">
        <f t="shared" si="12"/>
        <v>3</v>
      </c>
      <c r="BT120" s="116">
        <f t="shared" si="12"/>
        <v>5</v>
      </c>
      <c r="BU120" s="116">
        <f t="shared" si="12"/>
        <v>2</v>
      </c>
      <c r="BV120" s="116">
        <f t="shared" si="12"/>
        <v>9</v>
      </c>
      <c r="BW120" s="81">
        <f t="shared" si="12"/>
        <v>216560</v>
      </c>
      <c r="BX120" s="81">
        <f t="shared" ref="BX120:DI120" si="13">SUM(BX3:BX119)</f>
        <v>224440</v>
      </c>
      <c r="BY120" s="81">
        <f t="shared" si="13"/>
        <v>0</v>
      </c>
      <c r="BZ120" s="81">
        <f t="shared" si="13"/>
        <v>505000</v>
      </c>
      <c r="CA120" s="116">
        <f t="shared" si="13"/>
        <v>2</v>
      </c>
      <c r="CB120" s="116">
        <f t="shared" si="13"/>
        <v>1</v>
      </c>
      <c r="CC120" s="81">
        <v>237000</v>
      </c>
      <c r="CD120" s="116">
        <f t="shared" si="13"/>
        <v>26</v>
      </c>
      <c r="CE120" s="116">
        <f t="shared" si="13"/>
        <v>1</v>
      </c>
      <c r="CF120" s="116">
        <f t="shared" si="13"/>
        <v>14.637972623907949</v>
      </c>
      <c r="CG120" s="116">
        <f t="shared" si="13"/>
        <v>8</v>
      </c>
      <c r="CH120" s="116">
        <f t="shared" si="13"/>
        <v>6</v>
      </c>
      <c r="CI120" s="116">
        <f t="shared" si="13"/>
        <v>71</v>
      </c>
      <c r="CJ120" s="116">
        <f t="shared" si="13"/>
        <v>1</v>
      </c>
      <c r="CK120" s="81">
        <f t="shared" si="13"/>
        <v>745500</v>
      </c>
      <c r="CL120" s="81">
        <f t="shared" si="13"/>
        <v>160000</v>
      </c>
      <c r="CM120" s="81">
        <f t="shared" si="13"/>
        <v>21246964.68000003</v>
      </c>
      <c r="CN120" s="81">
        <f t="shared" si="13"/>
        <v>3200000</v>
      </c>
      <c r="CO120" s="116">
        <f t="shared" si="13"/>
        <v>15</v>
      </c>
      <c r="CP120" s="81">
        <f t="shared" si="13"/>
        <v>1050000</v>
      </c>
      <c r="CQ120" s="81">
        <f t="shared" si="13"/>
        <v>703977.85058413562</v>
      </c>
      <c r="CR120" s="81">
        <f t="shared" si="13"/>
        <v>3596640</v>
      </c>
      <c r="CS120" s="81">
        <f t="shared" si="13"/>
        <v>3894490.9349059821</v>
      </c>
      <c r="CT120" s="116">
        <f t="shared" si="13"/>
        <v>3.9453337389023022</v>
      </c>
      <c r="CU120" s="116">
        <f t="shared" si="13"/>
        <v>12</v>
      </c>
      <c r="CV120" s="81">
        <f t="shared" si="13"/>
        <v>600000</v>
      </c>
      <c r="CW120" s="81">
        <f t="shared" si="13"/>
        <v>0</v>
      </c>
      <c r="CX120" s="116">
        <f t="shared" si="13"/>
        <v>3</v>
      </c>
      <c r="CY120" s="81">
        <f t="shared" si="13"/>
        <v>30000</v>
      </c>
      <c r="CZ120" s="81">
        <f t="shared" si="13"/>
        <v>647925</v>
      </c>
      <c r="DA120" s="81">
        <f t="shared" si="13"/>
        <v>5119003</v>
      </c>
      <c r="DB120" s="81">
        <f t="shared" si="13"/>
        <v>10500716.458730731</v>
      </c>
      <c r="DC120" s="81">
        <f t="shared" si="13"/>
        <v>5402096.6917524775</v>
      </c>
      <c r="DD120" s="81">
        <f t="shared" si="13"/>
        <v>7469597.2936098333</v>
      </c>
      <c r="DE120" s="81">
        <f t="shared" si="13"/>
        <v>19700</v>
      </c>
      <c r="DF120" s="81">
        <f t="shared" si="13"/>
        <v>2492600</v>
      </c>
      <c r="DG120" s="81">
        <f t="shared" si="13"/>
        <v>445375.65381090355</v>
      </c>
      <c r="DH120" s="81">
        <f t="shared" si="13"/>
        <v>3076320.4875685284</v>
      </c>
      <c r="DI120" s="81">
        <f t="shared" si="13"/>
        <v>1988775.4746018173</v>
      </c>
      <c r="DJ120" s="81">
        <f>SUM(DJ3:DJ119)</f>
        <v>749201862.29074311</v>
      </c>
      <c r="DK120" s="81">
        <f t="shared" ref="DK120:DM120" si="14">SUM(DK3:DK119)</f>
        <v>4091233.7327822493</v>
      </c>
      <c r="DL120" s="81">
        <f t="shared" si="14"/>
        <v>5353000.0199999996</v>
      </c>
      <c r="DM120" s="81">
        <f t="shared" si="14"/>
        <v>758646096.0435251</v>
      </c>
    </row>
    <row r="121" spans="1:122" x14ac:dyDescent="0.25">
      <c r="B121" s="30" t="s">
        <v>379</v>
      </c>
      <c r="G121" s="81">
        <v>173177.12015668923</v>
      </c>
      <c r="H121" s="81">
        <v>109114.27619794433</v>
      </c>
      <c r="I121" s="81">
        <v>140395.22015668923</v>
      </c>
      <c r="J121" s="81">
        <v>109114.27619794433</v>
      </c>
      <c r="K121" s="81">
        <v>118891</v>
      </c>
      <c r="L121" s="81">
        <v>81577.320156689224</v>
      </c>
      <c r="M121" s="81">
        <v>59319.676384927567</v>
      </c>
      <c r="N121" s="81">
        <v>44635.326384927568</v>
      </c>
      <c r="O121" s="81">
        <v>50130.026384927565</v>
      </c>
      <c r="P121" s="81">
        <v>62573.586746740584</v>
      </c>
      <c r="Q121" s="81">
        <v>62573.586746740584</v>
      </c>
      <c r="R121" s="81">
        <v>69375.836746740591</v>
      </c>
      <c r="S121" s="81">
        <v>54629.386746740587</v>
      </c>
      <c r="T121" s="81">
        <v>48958.736746740586</v>
      </c>
      <c r="U121" s="81">
        <v>109114.27619794433</v>
      </c>
      <c r="V121" s="81">
        <v>109114.27619794433</v>
      </c>
      <c r="W121" s="81">
        <v>109114.27619794433</v>
      </c>
      <c r="X121" s="81">
        <v>109114.27619794433</v>
      </c>
      <c r="Y121" s="81">
        <v>109114.27619794433</v>
      </c>
      <c r="Z121" s="81">
        <v>109114.27619794433</v>
      </c>
      <c r="AA121" s="81">
        <v>109114.27619794433</v>
      </c>
      <c r="AB121" s="81">
        <v>34402.626384927571</v>
      </c>
      <c r="AC121" s="81">
        <v>109114.27619794433</v>
      </c>
      <c r="AD121" s="81">
        <v>34402.626384927571</v>
      </c>
      <c r="AE121" s="81">
        <v>109114.27619794433</v>
      </c>
      <c r="AF121" s="81">
        <v>34402.626384927571</v>
      </c>
      <c r="AG121" s="81">
        <v>109114.27619794433</v>
      </c>
      <c r="AH121" s="81">
        <v>34402.626384927571</v>
      </c>
      <c r="AI121" s="81">
        <v>109114.27619794433</v>
      </c>
      <c r="AJ121" s="81">
        <v>109114.27619794433</v>
      </c>
      <c r="AK121" s="81">
        <v>109114.27619794433</v>
      </c>
      <c r="AL121" s="81">
        <v>109114.27619794433</v>
      </c>
      <c r="AM121" s="81">
        <v>109114.27619794433</v>
      </c>
      <c r="AN121" s="81">
        <v>109114.27619794433</v>
      </c>
      <c r="AO121" s="81">
        <v>109114.27619794433</v>
      </c>
      <c r="AP121" s="81">
        <v>109114.27619794433</v>
      </c>
      <c r="AQ121" s="81">
        <v>109114.27619794433</v>
      </c>
      <c r="AR121" s="81">
        <v>109114.27619794433</v>
      </c>
      <c r="AS121" s="81">
        <v>109114.27619794433</v>
      </c>
      <c r="AT121" s="81">
        <v>109114.27619794433</v>
      </c>
      <c r="AU121" s="81">
        <v>109114.27619794433</v>
      </c>
      <c r="AV121" s="81">
        <v>109114.27619794433</v>
      </c>
      <c r="AW121" s="81">
        <v>109114.27619794433</v>
      </c>
      <c r="AX121" s="81">
        <v>109114.27619794433</v>
      </c>
      <c r="AY121" s="81">
        <v>109114.27619794433</v>
      </c>
      <c r="AZ121" s="81">
        <v>109114.27619794433</v>
      </c>
      <c r="BA121" s="81">
        <v>34402.626384927571</v>
      </c>
      <c r="BB121" s="81">
        <v>48063.47638492757</v>
      </c>
      <c r="BC121" s="81">
        <v>105202</v>
      </c>
      <c r="BD121" s="81">
        <v>109114.27619794433</v>
      </c>
      <c r="BE121" s="81">
        <v>34402.626384927571</v>
      </c>
      <c r="BF121" s="81">
        <v>109114.27619794433</v>
      </c>
      <c r="BG121" s="81">
        <v>5986</v>
      </c>
      <c r="BH121" s="81">
        <v>5612</v>
      </c>
      <c r="BI121" s="81">
        <v>6734</v>
      </c>
      <c r="BJ121" s="81"/>
      <c r="BP121" s="81">
        <v>105202</v>
      </c>
      <c r="BQ121" s="81">
        <v>109114.27619794433</v>
      </c>
      <c r="BR121" s="81">
        <v>140395.22015668923</v>
      </c>
      <c r="BS121" s="81">
        <v>109114.27619794433</v>
      </c>
      <c r="BT121" s="81">
        <v>109114.27619794433</v>
      </c>
      <c r="BU121" s="81">
        <v>140395.22015668923</v>
      </c>
      <c r="BV121" s="81">
        <v>140395.22015668923</v>
      </c>
      <c r="BW121" s="81"/>
      <c r="BX121" s="81"/>
      <c r="BY121" s="81"/>
      <c r="BZ121" s="81"/>
      <c r="CA121" s="81">
        <v>109114.27619794433</v>
      </c>
      <c r="CB121" s="81">
        <v>105202</v>
      </c>
      <c r="CC121" s="81"/>
      <c r="CD121" s="81">
        <v>109114.27619794433</v>
      </c>
      <c r="CE121" s="81">
        <v>109114.27619794433</v>
      </c>
      <c r="CF121" s="81">
        <v>128098.27015668922</v>
      </c>
      <c r="CG121" s="81">
        <v>105202</v>
      </c>
      <c r="CH121" s="81">
        <v>109114.27619794433</v>
      </c>
      <c r="CI121" s="81">
        <v>109114.27619794433</v>
      </c>
      <c r="CJ121" s="81">
        <v>109114.27619794433</v>
      </c>
      <c r="CO121" s="81">
        <v>105202</v>
      </c>
      <c r="CT121" s="81">
        <v>105202</v>
      </c>
      <c r="CU121" s="81">
        <v>105202</v>
      </c>
      <c r="CV121" s="81">
        <v>105202</v>
      </c>
      <c r="CX121" s="81">
        <v>105202</v>
      </c>
    </row>
    <row r="122" spans="1:122" x14ac:dyDescent="0.25">
      <c r="B122" s="30" t="s">
        <v>381</v>
      </c>
      <c r="CS122" s="109">
        <f>CS120/E120</f>
        <v>77.88514558938428</v>
      </c>
      <c r="DA122" s="109">
        <f>DA120/E120</f>
        <v>102.3739175649461</v>
      </c>
      <c r="DB122" s="109">
        <f>DB120/E120</f>
        <v>210.00172907087037</v>
      </c>
    </row>
    <row r="123" spans="1:122" x14ac:dyDescent="0.25">
      <c r="DA123" s="109"/>
      <c r="DB123" s="109"/>
    </row>
    <row r="124" spans="1:122" x14ac:dyDescent="0.25">
      <c r="B124" s="30" t="s">
        <v>383</v>
      </c>
      <c r="AN124" s="41" t="s">
        <v>384</v>
      </c>
      <c r="AO124" s="72" t="s">
        <v>385</v>
      </c>
    </row>
    <row r="125" spans="1:122" x14ac:dyDescent="0.25">
      <c r="B125" s="30" t="s">
        <v>387</v>
      </c>
      <c r="AN125" s="112">
        <f>SUBTOTAL(9,AN23:AP23)/AN$121</f>
        <v>8.064939168946059E-5</v>
      </c>
      <c r="AO125" s="112">
        <f>SUBTOTAL(9,AN25:AP25)/AO$121</f>
        <v>1.7321289806031877E-4</v>
      </c>
      <c r="AP125" s="81"/>
    </row>
    <row r="126" spans="1:122" x14ac:dyDescent="0.25">
      <c r="B126" s="30" t="s">
        <v>389</v>
      </c>
      <c r="AN126" s="113">
        <f>AN125*22</f>
        <v>1.7742866171681329E-3</v>
      </c>
      <c r="AO126" s="113">
        <f>AO125*22</f>
        <v>3.8106837573270132E-3</v>
      </c>
    </row>
    <row r="127" spans="1:122" x14ac:dyDescent="0.25">
      <c r="B127" s="30" t="s">
        <v>390</v>
      </c>
      <c r="AN127" s="113">
        <f>E23-AN126</f>
        <v>756.99822571338279</v>
      </c>
      <c r="AO127" s="113">
        <f>E25-AO126</f>
        <v>1371.9961893162426</v>
      </c>
    </row>
    <row r="128" spans="1:122" x14ac:dyDescent="0.25">
      <c r="B128" s="30" t="s">
        <v>392</v>
      </c>
      <c r="AN128" s="113">
        <f>AN127/24</f>
        <v>31.541592738057616</v>
      </c>
      <c r="AO128" s="113">
        <f>AO127/24</f>
        <v>57.166507888176774</v>
      </c>
    </row>
    <row r="129" spans="2:117" x14ac:dyDescent="0.25">
      <c r="B129" s="30" t="s">
        <v>394</v>
      </c>
      <c r="AO129" s="113">
        <f>SUM(AQ25:AT25)/AT$121</f>
        <v>3.6475520332278767E-4</v>
      </c>
    </row>
    <row r="131" spans="2:117" x14ac:dyDescent="0.25">
      <c r="B131" s="30" t="s">
        <v>396</v>
      </c>
      <c r="DJ131" s="81">
        <f>SUM(I120:K120,N120,AA120:BE120,BM120:BO120,DA120:DB120,)</f>
        <v>31720333.866337761</v>
      </c>
      <c r="DK131" s="81"/>
      <c r="DL131" s="81"/>
      <c r="DM131" s="81"/>
    </row>
    <row r="132" spans="2:117" x14ac:dyDescent="0.25">
      <c r="DJ132" s="86">
        <f>DJ131/DJ120</f>
        <v>4.2338834782591657E-2</v>
      </c>
      <c r="DK132" s="86"/>
      <c r="DL132" s="86"/>
      <c r="DM132" s="86"/>
    </row>
  </sheetData>
  <autoFilter ref="A2:DM122" xr:uid="{C6AB472E-595F-4DB1-9FBA-765819387D6C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FY21 Final Initial $$</vt:lpstr>
      <vt:lpstr>FY21 FTE</vt:lpstr>
      <vt:lpstr>FY20 Initial w later add-ons</vt:lpstr>
      <vt:lpstr>FY20 Initial Budget Allocat FTE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2020-03-18T21:41:33Z</dcterms:created>
  <dcterms:modified xsi:type="dcterms:W3CDTF">2021-03-18T22:04:36Z</dcterms:modified>
</cp:coreProperties>
</file>